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codeName="ЭтаКнига" defaultThemeVersion="124226"/>
  <bookViews>
    <workbookView xWindow="240" yWindow="105" windowWidth="14805" windowHeight="8010" firstSheet="5" activeTab="5"/>
  </bookViews>
  <sheets>
    <sheet name="Прогноз хар-к" sheetId="4" state="hidden" r:id="rId1"/>
    <sheet name="Прогноз хар-к 05.2019" sheetId="5" state="hidden" r:id="rId2"/>
    <sheet name="Прогноз хар-к 06.2019" sheetId="6" state="hidden" r:id="rId3"/>
    <sheet name="Прогноз хар-к 09.2019" sheetId="7" state="hidden" r:id="rId4"/>
    <sheet name="Приложение №3 к МП" sheetId="8" state="hidden" r:id="rId5"/>
    <sheet name="Пр №3 к МП" sheetId="9" r:id="rId6"/>
  </sheets>
  <definedNames>
    <definedName name="_xlnm.Print_Titles" localSheetId="5">'Пр №3 к МП'!$12:$15</definedName>
    <definedName name="_xlnm.Print_Titles" localSheetId="4">'Приложение №3 к МП'!$8:$11</definedName>
    <definedName name="_xlnm.Print_Area" localSheetId="5">'Пр №3 к МП'!$A$1:$M$148</definedName>
    <definedName name="_xlnm.Print_Area" localSheetId="4">'Приложение №3 к МП'!$A$1:$K$68</definedName>
    <definedName name="_xlnm.Print_Area" localSheetId="0">'Прогноз хар-к'!$B$1:$I$7</definedName>
    <definedName name="_xlnm.Print_Area" localSheetId="1">'Прогноз хар-к 05.2019'!$A$1:$K$60</definedName>
    <definedName name="_xlnm.Print_Area" localSheetId="2">'Прогноз хар-к 06.2019'!$A$1:$K$60</definedName>
    <definedName name="_xlnm.Print_Area" localSheetId="3">'Прогноз хар-к 09.2019'!$A$1:$L$60</definedName>
  </definedNames>
  <calcPr calcId="145621"/>
</workbook>
</file>

<file path=xl/calcChain.xml><?xml version="1.0" encoding="utf-8"?>
<calcChain xmlns="http://schemas.openxmlformats.org/spreadsheetml/2006/main">
  <c r="I104" i="9" l="1"/>
  <c r="I109" i="9"/>
  <c r="I59" i="9"/>
  <c r="H59" i="9" l="1"/>
  <c r="H19" i="9"/>
  <c r="H18" i="9"/>
  <c r="F132" i="9"/>
  <c r="G132" i="9"/>
  <c r="H132" i="9"/>
  <c r="I132" i="9"/>
  <c r="J132" i="9"/>
  <c r="K132" i="9"/>
  <c r="L132" i="9"/>
  <c r="F133" i="9"/>
  <c r="G133" i="9"/>
  <c r="H133" i="9"/>
  <c r="I133" i="9"/>
  <c r="J133" i="9"/>
  <c r="K133" i="9"/>
  <c r="L133" i="9"/>
  <c r="F134" i="9"/>
  <c r="F131" i="9" s="1"/>
  <c r="G134" i="9"/>
  <c r="H134" i="9"/>
  <c r="H131" i="9" s="1"/>
  <c r="I134" i="9"/>
  <c r="J134" i="9"/>
  <c r="J131" i="9" s="1"/>
  <c r="K134" i="9"/>
  <c r="L134" i="9"/>
  <c r="L131" i="9" s="1"/>
  <c r="F135" i="9"/>
  <c r="G135" i="9"/>
  <c r="H135" i="9"/>
  <c r="I135" i="9"/>
  <c r="I131" i="9" s="1"/>
  <c r="J135" i="9"/>
  <c r="K135" i="9"/>
  <c r="L135" i="9"/>
  <c r="E133" i="9"/>
  <c r="E134" i="9"/>
  <c r="E135" i="9"/>
  <c r="E132" i="9"/>
  <c r="G131" i="9"/>
  <c r="K131" i="9"/>
  <c r="I117" i="9"/>
  <c r="J117" i="9"/>
  <c r="K117" i="9"/>
  <c r="L117" i="9"/>
  <c r="I118" i="9"/>
  <c r="J118" i="9"/>
  <c r="K118" i="9"/>
  <c r="L118" i="9"/>
  <c r="I119" i="9"/>
  <c r="J119" i="9"/>
  <c r="K119" i="9"/>
  <c r="K120" i="9"/>
  <c r="L120" i="9"/>
  <c r="H120" i="9"/>
  <c r="G120" i="9"/>
  <c r="F120" i="9"/>
  <c r="E120" i="9"/>
  <c r="H119" i="9"/>
  <c r="G119" i="9"/>
  <c r="F119" i="9"/>
  <c r="E119" i="9"/>
  <c r="H118" i="9"/>
  <c r="G118" i="9"/>
  <c r="F118" i="9"/>
  <c r="E118" i="9"/>
  <c r="H117" i="9"/>
  <c r="G117" i="9"/>
  <c r="F117" i="9"/>
  <c r="E117" i="9"/>
  <c r="M115" i="9"/>
  <c r="M114" i="9"/>
  <c r="M113" i="9"/>
  <c r="M112" i="9"/>
  <c r="L111" i="9"/>
  <c r="K111" i="9"/>
  <c r="J111" i="9"/>
  <c r="I111" i="9"/>
  <c r="H111" i="9"/>
  <c r="G111" i="9"/>
  <c r="F111" i="9"/>
  <c r="E111" i="9"/>
  <c r="M111" i="9" l="1"/>
  <c r="I28" i="9" l="1"/>
  <c r="I29" i="9"/>
  <c r="I24" i="9"/>
  <c r="I23" i="9"/>
  <c r="I84" i="9" l="1"/>
  <c r="I83" i="9"/>
  <c r="I19" i="9"/>
  <c r="I18" i="9"/>
  <c r="L104" i="9" l="1"/>
  <c r="K104" i="9"/>
  <c r="J104" i="9"/>
  <c r="J127" i="9" l="1"/>
  <c r="K127" i="9"/>
  <c r="L127" i="9"/>
  <c r="J128" i="9"/>
  <c r="K128" i="9"/>
  <c r="L128" i="9"/>
  <c r="J129" i="9"/>
  <c r="K129" i="9"/>
  <c r="L129" i="9"/>
  <c r="J130" i="9"/>
  <c r="K130" i="9"/>
  <c r="L130" i="9"/>
  <c r="J126" i="9"/>
  <c r="K123" i="9"/>
  <c r="K138" i="9" s="1"/>
  <c r="K122" i="9"/>
  <c r="K137" i="9" s="1"/>
  <c r="M38" i="9"/>
  <c r="M39" i="9"/>
  <c r="M40" i="9"/>
  <c r="M37" i="9"/>
  <c r="M32" i="9"/>
  <c r="M33" i="9"/>
  <c r="M34" i="9"/>
  <c r="M35" i="9"/>
  <c r="J45" i="9"/>
  <c r="K45" i="9"/>
  <c r="L45" i="9"/>
  <c r="J44" i="9"/>
  <c r="K44" i="9"/>
  <c r="J43" i="9"/>
  <c r="K43" i="9"/>
  <c r="L43" i="9"/>
  <c r="J42" i="9"/>
  <c r="K42" i="9"/>
  <c r="L42" i="9"/>
  <c r="J36" i="9"/>
  <c r="K36" i="9"/>
  <c r="L36" i="9"/>
  <c r="J31" i="9"/>
  <c r="K31" i="9"/>
  <c r="L31" i="9"/>
  <c r="M103" i="9"/>
  <c r="M105" i="9"/>
  <c r="M102" i="9"/>
  <c r="K101" i="9"/>
  <c r="L101" i="9"/>
  <c r="M83" i="9"/>
  <c r="M85" i="9"/>
  <c r="M82" i="9"/>
  <c r="K81" i="9"/>
  <c r="L81" i="9"/>
  <c r="K106" i="9"/>
  <c r="K116" i="9" s="1"/>
  <c r="M108" i="9"/>
  <c r="M118" i="9" s="1"/>
  <c r="M107" i="9"/>
  <c r="M117" i="9" s="1"/>
  <c r="L109" i="9"/>
  <c r="L119" i="9" s="1"/>
  <c r="M73" i="9"/>
  <c r="M74" i="9"/>
  <c r="M75" i="9"/>
  <c r="M72" i="9"/>
  <c r="M70" i="9"/>
  <c r="M67" i="9"/>
  <c r="J77" i="9"/>
  <c r="K77" i="9"/>
  <c r="L77" i="9"/>
  <c r="J78" i="9"/>
  <c r="K78" i="9"/>
  <c r="L78" i="9"/>
  <c r="J79" i="9"/>
  <c r="K79" i="9"/>
  <c r="L79" i="9"/>
  <c r="J80" i="9"/>
  <c r="K80" i="9"/>
  <c r="L80" i="9"/>
  <c r="J71" i="9"/>
  <c r="K71" i="9"/>
  <c r="L71" i="9"/>
  <c r="K66" i="9"/>
  <c r="L66" i="9"/>
  <c r="M58" i="9"/>
  <c r="M60" i="9"/>
  <c r="M57" i="9"/>
  <c r="K56" i="9"/>
  <c r="L56" i="9"/>
  <c r="K61" i="9"/>
  <c r="L61" i="9"/>
  <c r="M63" i="9"/>
  <c r="M64" i="9"/>
  <c r="M65" i="9"/>
  <c r="M62" i="9"/>
  <c r="M98" i="9"/>
  <c r="M99" i="9"/>
  <c r="M100" i="9"/>
  <c r="M97" i="9"/>
  <c r="K96" i="9"/>
  <c r="L96" i="9"/>
  <c r="L126" i="9" l="1"/>
  <c r="M109" i="9"/>
  <c r="M119" i="9" s="1"/>
  <c r="L106" i="9"/>
  <c r="L116" i="9" s="1"/>
  <c r="M135" i="9"/>
  <c r="L76" i="9"/>
  <c r="K76" i="9"/>
  <c r="M132" i="9"/>
  <c r="M134" i="9"/>
  <c r="K126" i="9"/>
  <c r="M133" i="9"/>
  <c r="M53" i="9" l="1"/>
  <c r="M55" i="9"/>
  <c r="M52" i="9"/>
  <c r="J51" i="9"/>
  <c r="K51" i="9"/>
  <c r="L54" i="9"/>
  <c r="L51" i="9" s="1"/>
  <c r="K21" i="9"/>
  <c r="M23" i="9"/>
  <c r="M25" i="9"/>
  <c r="M22" i="9"/>
  <c r="L24" i="9"/>
  <c r="L21" i="9" s="1"/>
  <c r="K26" i="9"/>
  <c r="K41" i="9" s="1"/>
  <c r="M30" i="9"/>
  <c r="M27" i="9"/>
  <c r="L20" i="9"/>
  <c r="K20" i="9"/>
  <c r="K125" i="9" s="1"/>
  <c r="K140" i="9" s="1"/>
  <c r="L29" i="9"/>
  <c r="L44" i="9" s="1"/>
  <c r="K46" i="9"/>
  <c r="M17" i="9"/>
  <c r="L19" i="9"/>
  <c r="K19" i="9"/>
  <c r="K124" i="9" s="1"/>
  <c r="J19" i="9"/>
  <c r="L48" i="9"/>
  <c r="L123" i="9" s="1"/>
  <c r="L138" i="9" s="1"/>
  <c r="L49" i="9"/>
  <c r="M49" i="9" s="1"/>
  <c r="L50" i="9"/>
  <c r="M50" i="9" s="1"/>
  <c r="L47" i="9"/>
  <c r="L122" i="9" s="1"/>
  <c r="K16" i="9" l="1"/>
  <c r="L125" i="9"/>
  <c r="L140" i="9" s="1"/>
  <c r="L137" i="9"/>
  <c r="M47" i="9"/>
  <c r="L124" i="9"/>
  <c r="L139" i="9" s="1"/>
  <c r="L136" i="9" s="1"/>
  <c r="M54" i="9"/>
  <c r="M51" i="9" s="1"/>
  <c r="M48" i="9"/>
  <c r="K139" i="9"/>
  <c r="K136" i="9" s="1"/>
  <c r="K121" i="9"/>
  <c r="L16" i="9"/>
  <c r="L46" i="9"/>
  <c r="L26" i="9"/>
  <c r="L41" i="9" s="1"/>
  <c r="L121" i="9" l="1"/>
  <c r="E124" i="9"/>
  <c r="E125" i="9"/>
  <c r="F125" i="9"/>
  <c r="G125" i="9"/>
  <c r="H123" i="9"/>
  <c r="I123" i="9"/>
  <c r="H84" i="9"/>
  <c r="M84" i="9" s="1"/>
  <c r="H24" i="9"/>
  <c r="J20" i="9"/>
  <c r="I20" i="9"/>
  <c r="H20" i="9"/>
  <c r="G104" i="9"/>
  <c r="F101" i="9"/>
  <c r="E101" i="9"/>
  <c r="G96" i="9"/>
  <c r="F96" i="9"/>
  <c r="E96" i="9"/>
  <c r="G86" i="9"/>
  <c r="F86" i="9"/>
  <c r="E86" i="9"/>
  <c r="G81" i="9"/>
  <c r="F81" i="9"/>
  <c r="E81" i="9"/>
  <c r="G80" i="9"/>
  <c r="F80" i="9"/>
  <c r="E80" i="9"/>
  <c r="F79" i="9"/>
  <c r="E79" i="9"/>
  <c r="G78" i="9"/>
  <c r="F78" i="9"/>
  <c r="G77" i="9"/>
  <c r="F77" i="9"/>
  <c r="E77" i="9"/>
  <c r="G71" i="9"/>
  <c r="F71" i="9"/>
  <c r="E71" i="9"/>
  <c r="G69" i="9"/>
  <c r="E68" i="9"/>
  <c r="G66" i="9"/>
  <c r="F66" i="9"/>
  <c r="F76" i="9" s="1"/>
  <c r="G61" i="9"/>
  <c r="F61" i="9"/>
  <c r="E61" i="9"/>
  <c r="G59" i="9"/>
  <c r="F59" i="9"/>
  <c r="G56" i="9"/>
  <c r="F56" i="9"/>
  <c r="E56" i="9"/>
  <c r="G51" i="9"/>
  <c r="F51" i="9"/>
  <c r="E51" i="9"/>
  <c r="G46" i="9"/>
  <c r="F46" i="9"/>
  <c r="E46" i="9"/>
  <c r="G45" i="9"/>
  <c r="F45" i="9"/>
  <c r="E45" i="9"/>
  <c r="E44" i="9"/>
  <c r="G43" i="9"/>
  <c r="F43" i="9"/>
  <c r="G42" i="9"/>
  <c r="F42" i="9"/>
  <c r="E42" i="9"/>
  <c r="G36" i="9"/>
  <c r="F36" i="9"/>
  <c r="E36" i="9"/>
  <c r="G31" i="9"/>
  <c r="F31" i="9"/>
  <c r="E31" i="9"/>
  <c r="G29" i="9"/>
  <c r="G44" i="9" s="1"/>
  <c r="F29" i="9"/>
  <c r="E28" i="9"/>
  <c r="E26" i="9" s="1"/>
  <c r="E41" i="9" s="1"/>
  <c r="G24" i="9"/>
  <c r="G21" i="9" s="1"/>
  <c r="F21" i="9"/>
  <c r="E21" i="9"/>
  <c r="G19" i="9"/>
  <c r="F19" i="9"/>
  <c r="G18" i="9"/>
  <c r="G123" i="9" s="1"/>
  <c r="F18" i="9"/>
  <c r="G16" i="9"/>
  <c r="F16" i="9"/>
  <c r="E16" i="9"/>
  <c r="J124" i="9"/>
  <c r="J139" i="9" s="1"/>
  <c r="I124" i="9"/>
  <c r="F123" i="9" l="1"/>
  <c r="M18" i="9"/>
  <c r="F124" i="9"/>
  <c r="M19" i="9"/>
  <c r="E43" i="9"/>
  <c r="M28" i="9"/>
  <c r="E78" i="9"/>
  <c r="M68" i="9"/>
  <c r="G101" i="9"/>
  <c r="M104" i="9"/>
  <c r="M24" i="9"/>
  <c r="G26" i="9"/>
  <c r="G41" i="9" s="1"/>
  <c r="F44" i="9"/>
  <c r="M29" i="9"/>
  <c r="M59" i="9"/>
  <c r="G79" i="9"/>
  <c r="M69" i="9"/>
  <c r="H125" i="9"/>
  <c r="M20" i="9"/>
  <c r="G124" i="9"/>
  <c r="F26" i="9"/>
  <c r="F41" i="9" s="1"/>
  <c r="E66" i="9"/>
  <c r="E76" i="9" s="1"/>
  <c r="G76" i="9"/>
  <c r="H124" i="9"/>
  <c r="M124" i="9" s="1"/>
  <c r="J110" i="9"/>
  <c r="I110" i="9"/>
  <c r="F122" i="9"/>
  <c r="G122" i="9"/>
  <c r="H122" i="9"/>
  <c r="I122" i="9"/>
  <c r="J122" i="9"/>
  <c r="J137" i="9" s="1"/>
  <c r="E123" i="9"/>
  <c r="E122" i="9"/>
  <c r="G106" i="9"/>
  <c r="G116" i="9" s="1"/>
  <c r="J106" i="9"/>
  <c r="J116" i="9" s="1"/>
  <c r="I106" i="9"/>
  <c r="I116" i="9" s="1"/>
  <c r="H106" i="9"/>
  <c r="H116" i="9" s="1"/>
  <c r="F106" i="9"/>
  <c r="F116" i="9" s="1"/>
  <c r="E106" i="9"/>
  <c r="E116" i="9" s="1"/>
  <c r="M122" i="9" l="1"/>
  <c r="J125" i="9"/>
  <c r="J140" i="9" s="1"/>
  <c r="J120" i="9"/>
  <c r="I125" i="9"/>
  <c r="M125" i="9" s="1"/>
  <c r="I120" i="9"/>
  <c r="M110" i="9"/>
  <c r="M120" i="9" s="1"/>
  <c r="M106" i="9" l="1"/>
  <c r="M116" i="9" s="1"/>
  <c r="E127" i="9"/>
  <c r="E128" i="9"/>
  <c r="E129" i="9"/>
  <c r="E130" i="9"/>
  <c r="G127" i="9"/>
  <c r="G137" i="9" s="1"/>
  <c r="H127" i="9"/>
  <c r="I127" i="9"/>
  <c r="G128" i="9"/>
  <c r="H128" i="9"/>
  <c r="H138" i="9" s="1"/>
  <c r="I128" i="9"/>
  <c r="I138" i="9" s="1"/>
  <c r="G129" i="9"/>
  <c r="G139" i="9" s="1"/>
  <c r="H129" i="9"/>
  <c r="I129" i="9"/>
  <c r="I126" i="9" s="1"/>
  <c r="G130" i="9"/>
  <c r="H130" i="9"/>
  <c r="H140" i="9" s="1"/>
  <c r="I130" i="9"/>
  <c r="I140" i="9" s="1"/>
  <c r="F128" i="9"/>
  <c r="F129" i="9"/>
  <c r="F130" i="9"/>
  <c r="F121" i="9"/>
  <c r="G121" i="9"/>
  <c r="H121" i="9"/>
  <c r="H101" i="9"/>
  <c r="I101" i="9"/>
  <c r="J101" i="9"/>
  <c r="H96" i="9"/>
  <c r="I96" i="9"/>
  <c r="J96" i="9"/>
  <c r="M87" i="9"/>
  <c r="M88" i="9"/>
  <c r="M89" i="9"/>
  <c r="M90" i="9"/>
  <c r="M91" i="9"/>
  <c r="M92" i="9"/>
  <c r="M93" i="9"/>
  <c r="M94" i="9"/>
  <c r="M95" i="9"/>
  <c r="H81" i="9"/>
  <c r="I81" i="9"/>
  <c r="J81" i="9"/>
  <c r="H77" i="9"/>
  <c r="I77" i="9"/>
  <c r="H78" i="9"/>
  <c r="I78" i="9"/>
  <c r="H79" i="9"/>
  <c r="I79" i="9"/>
  <c r="H80" i="9"/>
  <c r="I80" i="9"/>
  <c r="H71" i="9"/>
  <c r="I71" i="9"/>
  <c r="M80" i="9"/>
  <c r="H66" i="9"/>
  <c r="I66" i="9"/>
  <c r="I76" i="9" s="1"/>
  <c r="H61" i="9"/>
  <c r="I61" i="9"/>
  <c r="J61" i="9"/>
  <c r="H56" i="9"/>
  <c r="I56" i="9"/>
  <c r="J56" i="9"/>
  <c r="H51" i="9"/>
  <c r="I51" i="9"/>
  <c r="H46" i="9"/>
  <c r="I46" i="9"/>
  <c r="J46" i="9"/>
  <c r="H42" i="9"/>
  <c r="I42" i="9"/>
  <c r="H43" i="9"/>
  <c r="I43" i="9"/>
  <c r="H44" i="9"/>
  <c r="I44" i="9"/>
  <c r="H45" i="9"/>
  <c r="I45" i="9"/>
  <c r="H31" i="9"/>
  <c r="M31" i="9" s="1"/>
  <c r="I31" i="9"/>
  <c r="H26" i="9"/>
  <c r="I26" i="9"/>
  <c r="H21" i="9"/>
  <c r="I21" i="9"/>
  <c r="J21" i="9"/>
  <c r="H16" i="9"/>
  <c r="I16" i="9"/>
  <c r="J16" i="9"/>
  <c r="M129" i="9" l="1"/>
  <c r="M130" i="9"/>
  <c r="M128" i="9"/>
  <c r="H76" i="9"/>
  <c r="G126" i="9"/>
  <c r="F139" i="9"/>
  <c r="H139" i="9"/>
  <c r="H137" i="9"/>
  <c r="E138" i="9"/>
  <c r="E140" i="9"/>
  <c r="F138" i="9"/>
  <c r="E139" i="9"/>
  <c r="E137" i="9"/>
  <c r="H126" i="9"/>
  <c r="F140" i="9"/>
  <c r="G140" i="9"/>
  <c r="I139" i="9"/>
  <c r="G138" i="9"/>
  <c r="I137" i="9"/>
  <c r="I136" i="9" s="1"/>
  <c r="G136" i="9"/>
  <c r="M79" i="9"/>
  <c r="H136" i="9"/>
  <c r="I121" i="9"/>
  <c r="F127" i="9"/>
  <c r="F137" i="9" s="1"/>
  <c r="M139" i="9" l="1"/>
  <c r="M127" i="9"/>
  <c r="M140" i="9"/>
  <c r="M137" i="9"/>
  <c r="F126" i="9"/>
  <c r="M101" i="9"/>
  <c r="M96" i="9"/>
  <c r="F136" i="9" l="1"/>
  <c r="E126" i="9"/>
  <c r="M126" i="9" l="1"/>
  <c r="E121" i="9" l="1"/>
  <c r="M46" i="9" l="1"/>
  <c r="I36" i="9"/>
  <c r="I41" i="9" s="1"/>
  <c r="H36" i="9"/>
  <c r="H41" i="9" s="1"/>
  <c r="M36" i="9" l="1"/>
  <c r="M71" i="9"/>
  <c r="M131" i="9" l="1"/>
  <c r="E131" i="9"/>
  <c r="M81" i="9"/>
  <c r="J86" i="9"/>
  <c r="I86" i="9"/>
  <c r="M86" i="9" l="1"/>
  <c r="E136" i="9"/>
  <c r="M77" i="9"/>
  <c r="M45" i="9"/>
  <c r="M42" i="9"/>
  <c r="F60" i="8"/>
  <c r="E60" i="8"/>
  <c r="J123" i="9" l="1"/>
  <c r="M78" i="9"/>
  <c r="J66" i="9"/>
  <c r="J76" i="9" s="1"/>
  <c r="J26" i="9"/>
  <c r="J41" i="9" s="1"/>
  <c r="M43" i="9"/>
  <c r="M61" i="9"/>
  <c r="K56" i="8"/>
  <c r="K55" i="8"/>
  <c r="K54" i="8"/>
  <c r="K53" i="8"/>
  <c r="J52" i="8"/>
  <c r="I52" i="8"/>
  <c r="H52" i="8"/>
  <c r="G52" i="8"/>
  <c r="F52" i="8"/>
  <c r="E52" i="8"/>
  <c r="F61" i="8"/>
  <c r="E61" i="8"/>
  <c r="I59" i="8"/>
  <c r="H59" i="8"/>
  <c r="G59" i="8"/>
  <c r="F59" i="8"/>
  <c r="E59" i="8"/>
  <c r="J58" i="8"/>
  <c r="I58" i="8"/>
  <c r="H58" i="8"/>
  <c r="G58" i="8"/>
  <c r="F58" i="8"/>
  <c r="E58" i="8"/>
  <c r="G51" i="8"/>
  <c r="G50" i="8"/>
  <c r="H50" i="8" s="1"/>
  <c r="J49" i="8"/>
  <c r="K49" i="8" s="1"/>
  <c r="K48" i="8"/>
  <c r="F47" i="8"/>
  <c r="E47" i="8"/>
  <c r="K46" i="8"/>
  <c r="K45" i="8"/>
  <c r="K44" i="8"/>
  <c r="K43" i="8"/>
  <c r="K42" i="8" s="1"/>
  <c r="J42" i="8"/>
  <c r="I42" i="8"/>
  <c r="H42" i="8"/>
  <c r="G42" i="8"/>
  <c r="F42" i="8"/>
  <c r="E42" i="8"/>
  <c r="K41" i="8"/>
  <c r="H40" i="8"/>
  <c r="H37" i="8" s="1"/>
  <c r="K39" i="8"/>
  <c r="K38" i="8"/>
  <c r="G37" i="8"/>
  <c r="F37" i="8"/>
  <c r="E37" i="8"/>
  <c r="K36" i="8"/>
  <c r="H35" i="8"/>
  <c r="F32" i="8"/>
  <c r="E32" i="8"/>
  <c r="K31" i="8"/>
  <c r="H30" i="8"/>
  <c r="K29" i="8"/>
  <c r="K28" i="8"/>
  <c r="G27" i="8"/>
  <c r="F27" i="8"/>
  <c r="E27" i="8"/>
  <c r="K26" i="8"/>
  <c r="G25" i="8"/>
  <c r="H25" i="8" s="1"/>
  <c r="J24" i="8"/>
  <c r="K24" i="8" s="1"/>
  <c r="K23" i="8"/>
  <c r="F22" i="8"/>
  <c r="E22" i="8"/>
  <c r="K19" i="8"/>
  <c r="K18" i="8"/>
  <c r="F17" i="8"/>
  <c r="E17" i="8"/>
  <c r="G16" i="8"/>
  <c r="G61" i="8" s="1"/>
  <c r="G15" i="8"/>
  <c r="K14" i="8"/>
  <c r="K13" i="8"/>
  <c r="F12" i="8"/>
  <c r="E12" i="8"/>
  <c r="H54" i="7"/>
  <c r="E60" i="7"/>
  <c r="E59" i="7"/>
  <c r="E58" i="7"/>
  <c r="E57" i="7"/>
  <c r="E51" i="7"/>
  <c r="E46" i="7"/>
  <c r="E41" i="7"/>
  <c r="E36" i="7"/>
  <c r="E31" i="7"/>
  <c r="E26" i="7"/>
  <c r="E21" i="7"/>
  <c r="E16" i="7"/>
  <c r="J138" i="9" l="1"/>
  <c r="M123" i="9"/>
  <c r="J121" i="9"/>
  <c r="G22" i="8"/>
  <c r="K58" i="8"/>
  <c r="F57" i="8"/>
  <c r="M44" i="9"/>
  <c r="G17" i="8"/>
  <c r="E57" i="8"/>
  <c r="G47" i="8"/>
  <c r="G60" i="8"/>
  <c r="G32" i="8"/>
  <c r="G12" i="8"/>
  <c r="H15" i="8"/>
  <c r="K52" i="8"/>
  <c r="I50" i="8"/>
  <c r="H22" i="8"/>
  <c r="I25" i="8"/>
  <c r="I30" i="8"/>
  <c r="H27" i="8"/>
  <c r="I35" i="8"/>
  <c r="H32" i="8"/>
  <c r="H20" i="8"/>
  <c r="K21" i="8"/>
  <c r="H51" i="8"/>
  <c r="I51" i="8" s="1"/>
  <c r="J51" i="8" s="1"/>
  <c r="J59" i="8"/>
  <c r="K59" i="8" s="1"/>
  <c r="H16" i="8"/>
  <c r="I40" i="8"/>
  <c r="E56" i="7"/>
  <c r="G60" i="7"/>
  <c r="F60" i="7"/>
  <c r="G59" i="7"/>
  <c r="F59" i="7"/>
  <c r="F62" i="7" s="1"/>
  <c r="J58" i="7"/>
  <c r="I58" i="7"/>
  <c r="H58" i="7"/>
  <c r="G58" i="7"/>
  <c r="F58" i="7"/>
  <c r="K57" i="7"/>
  <c r="J57" i="7"/>
  <c r="I57" i="7"/>
  <c r="H57" i="7"/>
  <c r="G57" i="7"/>
  <c r="F57" i="7"/>
  <c r="H55" i="7"/>
  <c r="I54" i="7"/>
  <c r="K53" i="7"/>
  <c r="L53" i="7" s="1"/>
  <c r="L52" i="7"/>
  <c r="H51" i="7"/>
  <c r="G51" i="7"/>
  <c r="F51" i="7"/>
  <c r="L50" i="7"/>
  <c r="L49" i="7"/>
  <c r="L48" i="7"/>
  <c r="L47" i="7"/>
  <c r="K46" i="7"/>
  <c r="J46" i="7"/>
  <c r="I46" i="7"/>
  <c r="H46" i="7"/>
  <c r="G46" i="7"/>
  <c r="F46" i="7"/>
  <c r="L45" i="7"/>
  <c r="I44" i="7"/>
  <c r="I41" i="7" s="1"/>
  <c r="L43" i="7"/>
  <c r="L42" i="7"/>
  <c r="H41" i="7"/>
  <c r="G41" i="7"/>
  <c r="F41" i="7"/>
  <c r="L40" i="7"/>
  <c r="H39" i="7"/>
  <c r="I39" i="7" s="1"/>
  <c r="J39" i="7" s="1"/>
  <c r="G36" i="7"/>
  <c r="F36" i="7"/>
  <c r="L35" i="7"/>
  <c r="H34" i="7"/>
  <c r="L33" i="7"/>
  <c r="L32" i="7"/>
  <c r="G31" i="7"/>
  <c r="F31" i="7"/>
  <c r="L30" i="7"/>
  <c r="H29" i="7"/>
  <c r="I29" i="7" s="1"/>
  <c r="K28" i="7"/>
  <c r="K58" i="7" s="1"/>
  <c r="L27" i="7"/>
  <c r="G26" i="7"/>
  <c r="F26" i="7"/>
  <c r="H25" i="7"/>
  <c r="H24" i="7"/>
  <c r="I24" i="7" s="1"/>
  <c r="J24" i="7" s="1"/>
  <c r="L23" i="7"/>
  <c r="L22" i="7"/>
  <c r="H21" i="7"/>
  <c r="G21" i="7"/>
  <c r="F21" i="7"/>
  <c r="H20" i="7"/>
  <c r="H19" i="7"/>
  <c r="L18" i="7"/>
  <c r="L17" i="7"/>
  <c r="G16" i="7"/>
  <c r="F16" i="7"/>
  <c r="D7" i="7"/>
  <c r="G5" i="7"/>
  <c r="F60" i="6"/>
  <c r="E60" i="6"/>
  <c r="F59" i="6"/>
  <c r="E59" i="6"/>
  <c r="I58" i="6"/>
  <c r="H58" i="6"/>
  <c r="G58" i="6"/>
  <c r="F58" i="6"/>
  <c r="E58" i="6"/>
  <c r="J57" i="6"/>
  <c r="I57" i="6"/>
  <c r="H57" i="6"/>
  <c r="G57" i="6"/>
  <c r="F57" i="6"/>
  <c r="E57" i="6"/>
  <c r="G55" i="6"/>
  <c r="H54" i="6"/>
  <c r="J53" i="6"/>
  <c r="K53" i="6" s="1"/>
  <c r="K52" i="6"/>
  <c r="G51" i="6"/>
  <c r="F51" i="6"/>
  <c r="E51" i="6"/>
  <c r="K50" i="6"/>
  <c r="K49" i="6"/>
  <c r="K48" i="6"/>
  <c r="K47" i="6"/>
  <c r="J46" i="6"/>
  <c r="I46" i="6"/>
  <c r="H46" i="6"/>
  <c r="G46" i="6"/>
  <c r="F46" i="6"/>
  <c r="E46" i="6"/>
  <c r="K45" i="6"/>
  <c r="H44" i="6"/>
  <c r="H41" i="6" s="1"/>
  <c r="K43" i="6"/>
  <c r="K42" i="6"/>
  <c r="G41" i="6"/>
  <c r="F41" i="6"/>
  <c r="E41" i="6"/>
  <c r="K40" i="6"/>
  <c r="G39" i="6"/>
  <c r="H39" i="6" s="1"/>
  <c r="I39" i="6" s="1"/>
  <c r="G36" i="6"/>
  <c r="F36" i="6"/>
  <c r="E36" i="6"/>
  <c r="K35" i="6"/>
  <c r="G34" i="6"/>
  <c r="K33" i="6"/>
  <c r="K32" i="6"/>
  <c r="F31" i="6"/>
  <c r="E31" i="6"/>
  <c r="K30" i="6"/>
  <c r="G29" i="6"/>
  <c r="H29" i="6" s="1"/>
  <c r="J28" i="6"/>
  <c r="K27" i="6"/>
  <c r="F26" i="6"/>
  <c r="E26" i="6"/>
  <c r="G25" i="6"/>
  <c r="G24" i="6"/>
  <c r="H24" i="6" s="1"/>
  <c r="I24" i="6" s="1"/>
  <c r="K23" i="6"/>
  <c r="K22" i="6"/>
  <c r="F21" i="6"/>
  <c r="E21" i="6"/>
  <c r="G20" i="6"/>
  <c r="G19" i="6"/>
  <c r="G59" i="6" s="1"/>
  <c r="K18" i="6"/>
  <c r="K17" i="6"/>
  <c r="F16" i="6"/>
  <c r="E16" i="6"/>
  <c r="E56" i="6" s="1"/>
  <c r="D7" i="6"/>
  <c r="F5" i="6"/>
  <c r="D7" i="5"/>
  <c r="G55" i="5"/>
  <c r="H55" i="5" s="1"/>
  <c r="I55" i="5" s="1"/>
  <c r="J55" i="5" s="1"/>
  <c r="H54" i="5"/>
  <c r="I54" i="5" s="1"/>
  <c r="J54" i="5" s="1"/>
  <c r="H44" i="5"/>
  <c r="I44" i="5" s="1"/>
  <c r="J44" i="5" s="1"/>
  <c r="G39" i="5"/>
  <c r="H39" i="5" s="1"/>
  <c r="I39" i="5" s="1"/>
  <c r="J39" i="5" s="1"/>
  <c r="G34" i="5"/>
  <c r="H34" i="5" s="1"/>
  <c r="I34" i="5" s="1"/>
  <c r="J34" i="5" s="1"/>
  <c r="G25" i="5"/>
  <c r="H25" i="5" s="1"/>
  <c r="I25" i="5" s="1"/>
  <c r="J25" i="5" s="1"/>
  <c r="G29" i="5"/>
  <c r="H29" i="5" s="1"/>
  <c r="I29" i="5" s="1"/>
  <c r="J29" i="5" s="1"/>
  <c r="G24" i="5"/>
  <c r="H24" i="5" s="1"/>
  <c r="I24" i="5" s="1"/>
  <c r="J24" i="5" s="1"/>
  <c r="G20" i="5"/>
  <c r="H20" i="5" s="1"/>
  <c r="I20" i="5" s="1"/>
  <c r="J20" i="5" s="1"/>
  <c r="G19" i="5"/>
  <c r="H19" i="5" s="1"/>
  <c r="I19" i="5" s="1"/>
  <c r="J19" i="5" s="1"/>
  <c r="G21" i="6" l="1"/>
  <c r="J136" i="9"/>
  <c r="M138" i="9"/>
  <c r="G26" i="6"/>
  <c r="J58" i="6"/>
  <c r="K57" i="6"/>
  <c r="M136" i="9"/>
  <c r="M26" i="9"/>
  <c r="M41" i="9" s="1"/>
  <c r="F56" i="6"/>
  <c r="G60" i="6"/>
  <c r="K46" i="6"/>
  <c r="H59" i="7"/>
  <c r="H63" i="7" s="1"/>
  <c r="L57" i="7"/>
  <c r="G63" i="6"/>
  <c r="H60" i="7"/>
  <c r="I20" i="7"/>
  <c r="L28" i="7"/>
  <c r="M56" i="9"/>
  <c r="M21" i="9"/>
  <c r="G57" i="8"/>
  <c r="I29" i="6"/>
  <c r="I26" i="6" s="1"/>
  <c r="H26" i="6"/>
  <c r="H20" i="6"/>
  <c r="H36" i="7"/>
  <c r="L46" i="7"/>
  <c r="K28" i="6"/>
  <c r="I15" i="8"/>
  <c r="H60" i="8"/>
  <c r="H12" i="8"/>
  <c r="H61" i="8"/>
  <c r="I16" i="8"/>
  <c r="I20" i="8"/>
  <c r="H17" i="8"/>
  <c r="J25" i="8"/>
  <c r="I22" i="8"/>
  <c r="H47" i="8"/>
  <c r="I37" i="8"/>
  <c r="J40" i="8"/>
  <c r="J37" i="8" s="1"/>
  <c r="J35" i="8"/>
  <c r="I32" i="8"/>
  <c r="J30" i="8"/>
  <c r="I27" i="8"/>
  <c r="J50" i="8"/>
  <c r="I47" i="8"/>
  <c r="K51" i="8"/>
  <c r="J29" i="7"/>
  <c r="K29" i="7" s="1"/>
  <c r="K26" i="7" s="1"/>
  <c r="I26" i="7"/>
  <c r="G56" i="7"/>
  <c r="H26" i="7"/>
  <c r="F56" i="7"/>
  <c r="L58" i="7"/>
  <c r="K24" i="7"/>
  <c r="K39" i="7"/>
  <c r="K36" i="7" s="1"/>
  <c r="J36" i="7"/>
  <c r="H5" i="7"/>
  <c r="H16" i="7"/>
  <c r="I19" i="7"/>
  <c r="J20" i="7"/>
  <c r="I25" i="7"/>
  <c r="J25" i="7" s="1"/>
  <c r="K25" i="7" s="1"/>
  <c r="H31" i="7"/>
  <c r="I34" i="7"/>
  <c r="I36" i="7"/>
  <c r="J44" i="7"/>
  <c r="J54" i="7"/>
  <c r="I55" i="7"/>
  <c r="J55" i="7" s="1"/>
  <c r="K55" i="7" s="1"/>
  <c r="K58" i="6"/>
  <c r="J24" i="6"/>
  <c r="J29" i="6"/>
  <c r="J26" i="6" s="1"/>
  <c r="J39" i="6"/>
  <c r="J36" i="6" s="1"/>
  <c r="I36" i="6"/>
  <c r="G5" i="6"/>
  <c r="G16" i="6"/>
  <c r="H19" i="6"/>
  <c r="I20" i="6"/>
  <c r="H25" i="6"/>
  <c r="I25" i="6" s="1"/>
  <c r="J25" i="6" s="1"/>
  <c r="G31" i="6"/>
  <c r="H34" i="6"/>
  <c r="H36" i="6"/>
  <c r="I44" i="6"/>
  <c r="I54" i="6"/>
  <c r="H55" i="6"/>
  <c r="I55" i="6" s="1"/>
  <c r="J55" i="6" s="1"/>
  <c r="I60" i="5"/>
  <c r="I59" i="5"/>
  <c r="H59" i="5"/>
  <c r="I58" i="5"/>
  <c r="H58" i="5"/>
  <c r="G58" i="5"/>
  <c r="J57" i="5"/>
  <c r="I57" i="5"/>
  <c r="H57" i="5"/>
  <c r="G57" i="5"/>
  <c r="K39" i="5"/>
  <c r="F60" i="5"/>
  <c r="E60" i="5"/>
  <c r="F59" i="5"/>
  <c r="E59" i="5"/>
  <c r="F58" i="5"/>
  <c r="E58" i="5"/>
  <c r="F57" i="5"/>
  <c r="E57" i="5"/>
  <c r="F51" i="5"/>
  <c r="E51" i="5"/>
  <c r="F46" i="5"/>
  <c r="E46" i="5"/>
  <c r="F41" i="5"/>
  <c r="E41" i="5"/>
  <c r="F36" i="5"/>
  <c r="E36" i="5"/>
  <c r="F31" i="5"/>
  <c r="E31" i="5"/>
  <c r="F26" i="5"/>
  <c r="E26" i="5"/>
  <c r="F21" i="5"/>
  <c r="E21" i="5"/>
  <c r="F16" i="5"/>
  <c r="F56" i="5" s="1"/>
  <c r="E16" i="5"/>
  <c r="I21" i="7" l="1"/>
  <c r="M66" i="9"/>
  <c r="M76" i="9" s="1"/>
  <c r="L36" i="7"/>
  <c r="M121" i="9"/>
  <c r="M16" i="9"/>
  <c r="H57" i="8"/>
  <c r="I51" i="7"/>
  <c r="K57" i="5"/>
  <c r="H51" i="6"/>
  <c r="K36" i="6"/>
  <c r="H21" i="6"/>
  <c r="J26" i="7"/>
  <c r="I60" i="8"/>
  <c r="J15" i="8"/>
  <c r="J22" i="8"/>
  <c r="K25" i="8"/>
  <c r="K22" i="8" s="1"/>
  <c r="J20" i="8"/>
  <c r="I17" i="8"/>
  <c r="J47" i="8"/>
  <c r="K50" i="8"/>
  <c r="K47" i="8" s="1"/>
  <c r="J27" i="8"/>
  <c r="K30" i="8"/>
  <c r="K27" i="8" s="1"/>
  <c r="J32" i="8"/>
  <c r="K32" i="8" s="1"/>
  <c r="K35" i="8"/>
  <c r="I61" i="8"/>
  <c r="J16" i="8"/>
  <c r="I12" i="8"/>
  <c r="K40" i="8"/>
  <c r="K37" i="8" s="1"/>
  <c r="K44" i="7"/>
  <c r="K41" i="7" s="1"/>
  <c r="J41" i="7"/>
  <c r="J34" i="7"/>
  <c r="I31" i="7"/>
  <c r="J19" i="7"/>
  <c r="I16" i="7"/>
  <c r="I59" i="7"/>
  <c r="I5" i="7"/>
  <c r="I63" i="7"/>
  <c r="J21" i="7"/>
  <c r="L39" i="7"/>
  <c r="L25" i="7"/>
  <c r="I60" i="7"/>
  <c r="K54" i="7"/>
  <c r="K51" i="7" s="1"/>
  <c r="J51" i="7"/>
  <c r="K20" i="7"/>
  <c r="K60" i="7" s="1"/>
  <c r="J60" i="7"/>
  <c r="H56" i="7"/>
  <c r="L55" i="7"/>
  <c r="K21" i="7"/>
  <c r="L54" i="7"/>
  <c r="L29" i="7"/>
  <c r="L26" i="7" s="1"/>
  <c r="L24" i="7"/>
  <c r="L21" i="7" s="1"/>
  <c r="J44" i="6"/>
  <c r="J41" i="6" s="1"/>
  <c r="I41" i="6"/>
  <c r="I34" i="6"/>
  <c r="H31" i="6"/>
  <c r="I19" i="6"/>
  <c r="H16" i="6"/>
  <c r="H59" i="6"/>
  <c r="H5" i="6"/>
  <c r="H63" i="6"/>
  <c r="I21" i="6"/>
  <c r="K39" i="6"/>
  <c r="K25" i="6"/>
  <c r="H60" i="6"/>
  <c r="J54" i="6"/>
  <c r="J51" i="6" s="1"/>
  <c r="I51" i="6"/>
  <c r="J20" i="6"/>
  <c r="J60" i="6" s="1"/>
  <c r="I60" i="6"/>
  <c r="G56" i="6"/>
  <c r="K55" i="6"/>
  <c r="J21" i="6"/>
  <c r="K54" i="6"/>
  <c r="K29" i="6"/>
  <c r="K26" i="6" s="1"/>
  <c r="K24" i="6"/>
  <c r="K21" i="6" s="1"/>
  <c r="E56" i="5"/>
  <c r="J60" i="5"/>
  <c r="K54" i="5"/>
  <c r="J53" i="5"/>
  <c r="K52" i="5"/>
  <c r="J51" i="5"/>
  <c r="I51" i="5"/>
  <c r="H51" i="5"/>
  <c r="G51" i="5"/>
  <c r="K50" i="5"/>
  <c r="K49" i="5"/>
  <c r="K48" i="5"/>
  <c r="K47" i="5"/>
  <c r="J46" i="5"/>
  <c r="I46" i="5"/>
  <c r="H46" i="5"/>
  <c r="G46" i="5"/>
  <c r="K45" i="5"/>
  <c r="K44" i="5"/>
  <c r="K43" i="5"/>
  <c r="K42" i="5"/>
  <c r="J41" i="5"/>
  <c r="I41" i="5"/>
  <c r="H41" i="5"/>
  <c r="G41" i="5"/>
  <c r="K40" i="5"/>
  <c r="J36" i="5"/>
  <c r="I36" i="5"/>
  <c r="H36" i="5"/>
  <c r="G36" i="5"/>
  <c r="K35" i="5"/>
  <c r="K33" i="5"/>
  <c r="K32" i="5"/>
  <c r="J31" i="5"/>
  <c r="I31" i="5"/>
  <c r="H31" i="5"/>
  <c r="G31" i="5"/>
  <c r="K30" i="5"/>
  <c r="J28" i="5"/>
  <c r="J26" i="5" s="1"/>
  <c r="I26" i="5"/>
  <c r="H26" i="5"/>
  <c r="G26" i="5"/>
  <c r="H60" i="5"/>
  <c r="G60" i="5"/>
  <c r="J21" i="5"/>
  <c r="K23" i="5"/>
  <c r="K22" i="5"/>
  <c r="I21" i="5"/>
  <c r="K20" i="5"/>
  <c r="G16" i="5"/>
  <c r="I16" i="5"/>
  <c r="H16" i="5"/>
  <c r="F5" i="5"/>
  <c r="F5" i="4"/>
  <c r="G5" i="4" s="1"/>
  <c r="H5" i="4" s="1"/>
  <c r="I5" i="4" s="1"/>
  <c r="K44" i="6" l="1"/>
  <c r="K41" i="6" s="1"/>
  <c r="H56" i="6"/>
  <c r="L44" i="7"/>
  <c r="L41" i="7" s="1"/>
  <c r="I56" i="7"/>
  <c r="J58" i="5"/>
  <c r="K58" i="5" s="1"/>
  <c r="K51" i="6"/>
  <c r="L51" i="7"/>
  <c r="I57" i="8"/>
  <c r="G5" i="5"/>
  <c r="J60" i="8"/>
  <c r="K60" i="8" s="1"/>
  <c r="K15" i="8"/>
  <c r="J61" i="8"/>
  <c r="K61" i="8" s="1"/>
  <c r="J12" i="8"/>
  <c r="K16" i="8"/>
  <c r="J17" i="8"/>
  <c r="K20" i="8"/>
  <c r="K17" i="8" s="1"/>
  <c r="J5" i="7"/>
  <c r="L60" i="7"/>
  <c r="L20" i="7"/>
  <c r="J59" i="7"/>
  <c r="J63" i="7" s="1"/>
  <c r="K19" i="7"/>
  <c r="J16" i="7"/>
  <c r="L19" i="7"/>
  <c r="L16" i="7" s="1"/>
  <c r="K34" i="7"/>
  <c r="J31" i="7"/>
  <c r="I5" i="6"/>
  <c r="K60" i="6"/>
  <c r="K20" i="6"/>
  <c r="I59" i="6"/>
  <c r="I63" i="6" s="1"/>
  <c r="J19" i="6"/>
  <c r="I16" i="6"/>
  <c r="K19" i="6"/>
  <c r="K16" i="6" s="1"/>
  <c r="J34" i="6"/>
  <c r="I31" i="6"/>
  <c r="K36" i="5"/>
  <c r="K60" i="5"/>
  <c r="K29" i="5"/>
  <c r="G59" i="5"/>
  <c r="G63" i="5" s="1"/>
  <c r="I56" i="5"/>
  <c r="H21" i="5"/>
  <c r="H56" i="5" s="1"/>
  <c r="J59" i="5"/>
  <c r="J16" i="5"/>
  <c r="J56" i="5" s="1"/>
  <c r="K17" i="5"/>
  <c r="G21" i="5"/>
  <c r="G56" i="5" s="1"/>
  <c r="K24" i="5"/>
  <c r="K28" i="5"/>
  <c r="K46" i="5"/>
  <c r="K27" i="5"/>
  <c r="K41" i="5"/>
  <c r="K25" i="5"/>
  <c r="K34" i="5"/>
  <c r="K31" i="5" s="1"/>
  <c r="K53" i="5"/>
  <c r="K18" i="5"/>
  <c r="K55" i="5"/>
  <c r="J56" i="7" l="1"/>
  <c r="J57" i="8"/>
  <c r="K57" i="8" s="1"/>
  <c r="K12" i="8"/>
  <c r="H5" i="5"/>
  <c r="H63" i="5"/>
  <c r="K31" i="7"/>
  <c r="L34" i="7"/>
  <c r="L31" i="7" s="1"/>
  <c r="K16" i="7"/>
  <c r="K56" i="7" s="1"/>
  <c r="K59" i="7"/>
  <c r="L59" i="7" s="1"/>
  <c r="K7" i="7"/>
  <c r="L8" i="7" s="1"/>
  <c r="J31" i="6"/>
  <c r="K34" i="6"/>
  <c r="K31" i="6" s="1"/>
  <c r="I56" i="6"/>
  <c r="J59" i="6"/>
  <c r="K59" i="6" s="1"/>
  <c r="J16" i="6"/>
  <c r="J56" i="6" s="1"/>
  <c r="J7" i="6"/>
  <c r="K8" i="6" s="1"/>
  <c r="K59" i="5"/>
  <c r="K21" i="5"/>
  <c r="K56" i="5"/>
  <c r="K26" i="5"/>
  <c r="K51" i="5"/>
  <c r="K19" i="5"/>
  <c r="K16" i="5" s="1"/>
  <c r="L56" i="7" l="1"/>
  <c r="J63" i="6"/>
  <c r="I5" i="5"/>
  <c r="J63" i="5" s="1"/>
  <c r="I63" i="5"/>
  <c r="J7" i="5"/>
  <c r="K8" i="5" s="1"/>
  <c r="K63" i="7"/>
  <c r="K56" i="6"/>
</calcChain>
</file>

<file path=xl/sharedStrings.xml><?xml version="1.0" encoding="utf-8"?>
<sst xmlns="http://schemas.openxmlformats.org/spreadsheetml/2006/main" count="611" uniqueCount="88">
  <si>
    <t>2021 год</t>
  </si>
  <si>
    <t>2020 год</t>
  </si>
  <si>
    <t>2019 год</t>
  </si>
  <si>
    <t>2022 год</t>
  </si>
  <si>
    <t>2023 год</t>
  </si>
  <si>
    <t>2024 год</t>
  </si>
  <si>
    <t>2025 год</t>
  </si>
  <si>
    <t>№ п/п</t>
  </si>
  <si>
    <t>1.</t>
  </si>
  <si>
    <t>Наименование показателя</t>
  </si>
  <si>
    <t>Темп роста к предыдущему году</t>
  </si>
  <si>
    <t>Муниципальная программа "Развитие физической культуры и спорта"</t>
  </si>
  <si>
    <t xml:space="preserve">ПРОГНОЗ
расходов на реализацию муниципальной программы
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</si>
  <si>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(тыс. руб.)</t>
  </si>
  <si>
    <t xml:space="preserve">Финансовое обеспечение </t>
  </si>
  <si>
    <t>мероприятий муниципальной программы</t>
  </si>
  <si>
    <t>Наименование мероприятия муниципальной программы</t>
  </si>
  <si>
    <t>Исполнитель муниципальной программы*</t>
  </si>
  <si>
    <t>Источник финанси-рования**</t>
  </si>
  <si>
    <t>Финансовые затраты, тыс. руб.</t>
  </si>
  <si>
    <t>Всего</t>
  </si>
  <si>
    <t>1.1.</t>
  </si>
  <si>
    <t>Проведение физкультурно-оздоровительных занятий</t>
  </si>
  <si>
    <t>УФКМС</t>
  </si>
  <si>
    <t>ФБ</t>
  </si>
  <si>
    <t>РБ</t>
  </si>
  <si>
    <t>МБ</t>
  </si>
  <si>
    <t>ВБ</t>
  </si>
  <si>
    <t>1.2.</t>
  </si>
  <si>
    <t>Обеспечение доступа к спортивным объектам (предоставление спортивных сооружений муниципальными учреждениями)</t>
  </si>
  <si>
    <t>1.3.</t>
  </si>
  <si>
    <t>Содержание и эксплуатация спортивных сооружений</t>
  </si>
  <si>
    <t>Организация и проведение официальных физкультурно- оздоровительных и спортивных мероприятий муниципального образования «Город Вологда» муниципальными  учреждениями</t>
  </si>
  <si>
    <t>Обеспечение участия спортивных сборных команд в  физкультурно-спортивных мероприятиях различного уровня и осуществление их обеспечения муниципальными учреждениями</t>
  </si>
  <si>
    <t>Содействие субъектам физической культуры и спорта  через предоставление субсидий из бюджета города Вологды на социально значимые цели</t>
  </si>
  <si>
    <t xml:space="preserve">Стипендиальная поддержка  лучших спортсменов муниципального образования «Город Вологда» </t>
  </si>
  <si>
    <t>Спортивная подготовка по олимпийским видам спорта</t>
  </si>
  <si>
    <t>Итого</t>
  </si>
  <si>
    <t>1.4</t>
  </si>
  <si>
    <t>1.5</t>
  </si>
  <si>
    <t>1.6</t>
  </si>
  <si>
    <t>1.7</t>
  </si>
  <si>
    <t>1.8</t>
  </si>
  <si>
    <t>темп роста к предыдущему году (в %)</t>
  </si>
  <si>
    <t>Темп роста к предыдущему году (в %)</t>
  </si>
  <si>
    <t>2020 год (контрольные показатели)</t>
  </si>
  <si>
    <t>2020 год (потребность)</t>
  </si>
  <si>
    <t>Участие в обеспечении подготовки спортивного резерва для спортивных сборных команд субъекта Российской Федерации</t>
  </si>
  <si>
    <t>Приложение № 3</t>
  </si>
  <si>
    <t>к муниципальной программе "Развитие</t>
  </si>
  <si>
    <t>физической культуры и спорта"</t>
  </si>
  <si>
    <t>*  УФКМС - Управление физической культуры и массового спорта Администрации города Вологды;</t>
  </si>
  <si>
    <t>** ФБ – безвозмездные поступления из федерального бюджета;</t>
  </si>
  <si>
    <t xml:space="preserve">    РБ – безвозмездные поступления из областного бюджета (кроме дотаций);</t>
  </si>
  <si>
    <t xml:space="preserve">    МБ – налоговые и неналоговые доходы бюджета города Вологды и дотации из областного бюджета;</t>
  </si>
  <si>
    <t xml:space="preserve">    ВБ – внебюджетные источники финансирования.</t>
  </si>
  <si>
    <t>4</t>
  </si>
  <si>
    <t>5</t>
  </si>
  <si>
    <t>6</t>
  </si>
  <si>
    <t>7</t>
  </si>
  <si>
    <t>8</t>
  </si>
  <si>
    <t>9</t>
  </si>
  <si>
    <t>Участие спортивных сборных команд в  физкультурно-спортивных мероприятиях различного уровня, осуществление их обеспечения, организация и проведение тренировочных сборов  муниципальными учреждениями</t>
  </si>
  <si>
    <t xml:space="preserve">Реализация муниципальными учреждениями программ спортивной подготовки в соответствии с федеральными стандартами спортивной подготовки </t>
  </si>
  <si>
    <t>Реконструкция подводящего газопровода</t>
  </si>
  <si>
    <t xml:space="preserve">2020 год </t>
  </si>
  <si>
    <t xml:space="preserve">     ДГ - Департамент градостроительства Администрации города Вологды;</t>
  </si>
  <si>
    <t>10</t>
  </si>
  <si>
    <t>ДГ</t>
  </si>
  <si>
    <t>Итого по муниципальной программе</t>
  </si>
  <si>
    <t>Строительство объектов  спортивной инфраструктуры в соответствии с реализуемыми на территории города муниципальными и государственными целевыми программами</t>
  </si>
  <si>
    <t xml:space="preserve">    ВБ – внебюджетные источники финансирования.».</t>
  </si>
  <si>
    <t>к муниципальной программе «Развитие</t>
  </si>
  <si>
    <t xml:space="preserve">физической культуры и спорта» </t>
  </si>
  <si>
    <t xml:space="preserve">Реализация регионального проекта «Спорт-норма жизни» </t>
  </si>
  <si>
    <t>УО</t>
  </si>
  <si>
    <t>Управление образования Администрации города Вологды;</t>
  </si>
  <si>
    <r>
      <t xml:space="preserve">Стипендиальная поддержка  лучших спортсменов </t>
    </r>
    <r>
      <rPr>
        <sz val="11"/>
        <rFont val="Times New Roman"/>
        <family val="1"/>
        <charset val="204"/>
      </rPr>
      <t>городского округа города Вологды</t>
    </r>
  </si>
  <si>
    <t xml:space="preserve">«Приложение № 3 </t>
  </si>
  <si>
    <t>11</t>
  </si>
  <si>
    <t>Обеспечение выполнения функций Управления физической культуры и массового спорта Администрации города Вологды</t>
  </si>
  <si>
    <t>12</t>
  </si>
  <si>
    <t xml:space="preserve">Реализация муниципальными учреждениями дополнительных образовательных программ спортивной подготовки в соответствии с федеральными стандартами спортивной подготовки </t>
  </si>
  <si>
    <t>Обеспечение антитеррористической защищенности объектов физической культуры и спорта</t>
  </si>
  <si>
    <t>2026 год</t>
  </si>
  <si>
    <t>2027 год</t>
  </si>
  <si>
    <r>
      <t xml:space="preserve">Организация и проведение официальных физкультурно-оздоровительных и спортивных мероприятий </t>
    </r>
    <r>
      <rPr>
        <sz val="11"/>
        <rFont val="Times New Roman"/>
        <family val="1"/>
        <charset val="204"/>
      </rPr>
      <t>городского округа города Вологды муниципальными  учреждениями</t>
    </r>
  </si>
  <si>
    <t>Приложение № 3 к постановлению Администрации города Вологды                              от 20.03.2024 № 360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</si>
</sst>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0.0%"/>
    <numFmt numFmtId="166" formatCode="0.0"/>
  </numFmts>
  <fonts count="17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i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1"/>
      <color theme="1"/>
      <name val="Calibri"/>
      <family val="2"/>
      <scheme val="minor"/>
    </font>
    <font>
      <sz val="11"/>
      <color indexed="8"/>
      <name val="Times New Roman"/>
      <family val="1"/>
      <charset val="204"/>
    </font>
    <font>
      <sz val="11"/>
      <name val="Arial Cyr"/>
      <charset val="204"/>
    </font>
    <font>
      <sz val="11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3"/>
      <name val="Times New Roman"/>
      <family val="1"/>
      <charset val="204"/>
    </font>
    <font>
      <sz val="13"/>
      <name val="Arial Cyr"/>
      <charset val="204"/>
    </font>
    <font>
      <sz val="11"/>
      <color theme="1"/>
      <name val="Calibri"/>
      <family val="2"/>
      <scheme val="minor"/>
    </font>
    <font>
      <sz val="11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5" fillId="0" borderId="0"/>
  </cellStyleXfs>
  <cellXfs count="110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64" fontId="2" fillId="0" borderId="1" xfId="0" applyNumberFormat="1" applyFont="1" applyBorder="1" applyAlignment="1">
      <alignment wrapText="1"/>
    </xf>
    <xf numFmtId="164" fontId="3" fillId="0" borderId="0" xfId="0" applyNumberFormat="1" applyFont="1"/>
    <xf numFmtId="0" fontId="4" fillId="0" borderId="0" xfId="0" applyFont="1"/>
    <xf numFmtId="0" fontId="1" fillId="0" borderId="1" xfId="0" applyFont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16" fontId="2" fillId="0" borderId="1" xfId="0" applyNumberFormat="1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7" fillId="0" borderId="0" xfId="0" applyFont="1"/>
    <xf numFmtId="164" fontId="4" fillId="0" borderId="0" xfId="0" applyNumberFormat="1" applyFont="1"/>
    <xf numFmtId="0" fontId="6" fillId="2" borderId="1" xfId="0" applyFont="1" applyFill="1" applyBorder="1" applyAlignment="1">
      <alignment vertical="center" wrapText="1"/>
    </xf>
    <xf numFmtId="164" fontId="6" fillId="2" borderId="1" xfId="0" applyNumberFormat="1" applyFont="1" applyFill="1" applyBorder="1" applyAlignment="1">
      <alignment wrapText="1"/>
    </xf>
    <xf numFmtId="165" fontId="6" fillId="2" borderId="1" xfId="0" applyNumberFormat="1" applyFont="1" applyFill="1" applyBorder="1" applyAlignment="1">
      <alignment wrapText="1"/>
    </xf>
    <xf numFmtId="0" fontId="8" fillId="0" borderId="0" xfId="0" applyFont="1"/>
    <xf numFmtId="0" fontId="9" fillId="0" borderId="0" xfId="0" applyFont="1"/>
    <xf numFmtId="0" fontId="8" fillId="0" borderId="1" xfId="0" applyFont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top" wrapText="1"/>
    </xf>
    <xf numFmtId="164" fontId="8" fillId="0" borderId="1" xfId="0" applyNumberFormat="1" applyFont="1" applyFill="1" applyBorder="1" applyAlignment="1">
      <alignment horizontal="center" vertical="top" wrapText="1"/>
    </xf>
    <xf numFmtId="0" fontId="10" fillId="0" borderId="0" xfId="0" applyFont="1"/>
    <xf numFmtId="164" fontId="0" fillId="0" borderId="0" xfId="0" applyNumberFormat="1"/>
    <xf numFmtId="0" fontId="8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10" fillId="3" borderId="0" xfId="0" applyFont="1" applyFill="1"/>
    <xf numFmtId="0" fontId="8" fillId="0" borderId="1" xfId="0" applyFont="1" applyBorder="1" applyAlignment="1">
      <alignment horizontal="center" vertical="top" wrapText="1"/>
    </xf>
    <xf numFmtId="0" fontId="10" fillId="0" borderId="0" xfId="0" applyFont="1" applyFill="1"/>
    <xf numFmtId="0" fontId="12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/>
    </xf>
    <xf numFmtId="164" fontId="3" fillId="0" borderId="0" xfId="0" applyNumberFormat="1" applyFont="1" applyAlignment="1">
      <alignment horizontal="left"/>
    </xf>
    <xf numFmtId="0" fontId="13" fillId="0" borderId="0" xfId="0" applyFont="1"/>
    <xf numFmtId="0" fontId="14" fillId="0" borderId="0" xfId="0" applyFont="1"/>
    <xf numFmtId="164" fontId="14" fillId="0" borderId="0" xfId="0" applyNumberFormat="1" applyFont="1"/>
    <xf numFmtId="166" fontId="14" fillId="0" borderId="0" xfId="0" applyNumberFormat="1" applyFont="1"/>
    <xf numFmtId="0" fontId="8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164" fontId="8" fillId="3" borderId="1" xfId="0" applyNumberFormat="1" applyFont="1" applyFill="1" applyBorder="1" applyAlignment="1">
      <alignment horizontal="center" vertical="top" wrapText="1"/>
    </xf>
    <xf numFmtId="0" fontId="13" fillId="0" borderId="0" xfId="0" applyFont="1" applyAlignment="1">
      <alignment horizontal="left"/>
    </xf>
    <xf numFmtId="0" fontId="8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8" fillId="0" borderId="1" xfId="1" applyFont="1" applyBorder="1" applyAlignment="1">
      <alignment horizontal="center" vertical="top" wrapText="1"/>
    </xf>
    <xf numFmtId="164" fontId="8" fillId="0" borderId="1" xfId="1" applyNumberFormat="1" applyFont="1" applyFill="1" applyBorder="1" applyAlignment="1">
      <alignment horizontal="center" vertical="top" wrapText="1"/>
    </xf>
    <xf numFmtId="0" fontId="8" fillId="0" borderId="1" xfId="1" applyFont="1" applyFill="1" applyBorder="1" applyAlignment="1">
      <alignment horizontal="center" vertical="top" wrapText="1"/>
    </xf>
    <xf numFmtId="0" fontId="8" fillId="4" borderId="1" xfId="0" applyFont="1" applyFill="1" applyBorder="1" applyAlignment="1">
      <alignment horizontal="center" vertical="top" wrapText="1"/>
    </xf>
    <xf numFmtId="0" fontId="11" fillId="4" borderId="1" xfId="0" applyFont="1" applyFill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13" fillId="0" borderId="0" xfId="0" applyFont="1" applyAlignment="1">
      <alignment horizontal="right"/>
    </xf>
    <xf numFmtId="0" fontId="0" fillId="0" borderId="0" xfId="0" applyFill="1"/>
    <xf numFmtId="0" fontId="2" fillId="0" borderId="0" xfId="0" applyFont="1" applyFill="1" applyAlignment="1">
      <alignment horizontal="center" vertical="center" wrapText="1"/>
    </xf>
    <xf numFmtId="164" fontId="3" fillId="0" borderId="0" xfId="0" applyNumberFormat="1" applyFont="1" applyFill="1"/>
    <xf numFmtId="164" fontId="4" fillId="0" borderId="0" xfId="0" applyNumberFormat="1" applyFont="1" applyFill="1"/>
    <xf numFmtId="0" fontId="11" fillId="0" borderId="1" xfId="0" applyFont="1" applyFill="1" applyBorder="1" applyAlignment="1">
      <alignment horizontal="center" vertical="top" wrapText="1"/>
    </xf>
    <xf numFmtId="0" fontId="13" fillId="0" borderId="0" xfId="0" applyFont="1" applyFill="1" applyAlignment="1">
      <alignment horizontal="left"/>
    </xf>
    <xf numFmtId="0" fontId="14" fillId="0" borderId="0" xfId="0" applyFont="1" applyFill="1"/>
    <xf numFmtId="164" fontId="14" fillId="0" borderId="0" xfId="0" applyNumberFormat="1" applyFont="1" applyFill="1"/>
    <xf numFmtId="0" fontId="16" fillId="0" borderId="0" xfId="0" applyFont="1" applyFill="1" applyAlignment="1">
      <alignment wrapText="1"/>
    </xf>
    <xf numFmtId="0" fontId="0" fillId="0" borderId="0" xfId="0" applyFill="1" applyAlignment="1"/>
    <xf numFmtId="164" fontId="3" fillId="0" borderId="0" xfId="0" applyNumberFormat="1" applyFont="1" applyFill="1" applyAlignment="1">
      <alignment horizontal="left"/>
    </xf>
    <xf numFmtId="0" fontId="3" fillId="0" borderId="0" xfId="0" applyFont="1" applyFill="1" applyAlignment="1">
      <alignment horizontal="left"/>
    </xf>
    <xf numFmtId="0" fontId="9" fillId="0" borderId="0" xfId="0" applyFont="1" applyFill="1"/>
    <xf numFmtId="166" fontId="14" fillId="0" borderId="0" xfId="0" applyNumberFormat="1" applyFont="1" applyFill="1"/>
    <xf numFmtId="0" fontId="2" fillId="0" borderId="0" xfId="0" applyFont="1" applyAlignment="1">
      <alignment horizontal="center" wrapText="1"/>
    </xf>
    <xf numFmtId="0" fontId="8" fillId="0" borderId="0" xfId="0" applyFont="1" applyAlignment="1">
      <alignment horizontal="center"/>
    </xf>
    <xf numFmtId="0" fontId="8" fillId="0" borderId="1" xfId="0" applyFont="1" applyBorder="1" applyAlignment="1">
      <alignment horizontal="center" vertical="top" wrapText="1"/>
    </xf>
    <xf numFmtId="0" fontId="8" fillId="0" borderId="1" xfId="0" applyNumberFormat="1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vertical="top" wrapText="1"/>
    </xf>
    <xf numFmtId="0" fontId="8" fillId="0" borderId="1" xfId="0" applyNumberFormat="1" applyFont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0" fontId="8" fillId="0" borderId="2" xfId="0" applyNumberFormat="1" applyFont="1" applyBorder="1" applyAlignment="1">
      <alignment horizontal="center" vertical="top" wrapText="1"/>
    </xf>
    <xf numFmtId="0" fontId="8" fillId="0" borderId="3" xfId="0" applyNumberFormat="1" applyFont="1" applyBorder="1" applyAlignment="1">
      <alignment horizontal="center" vertical="top" wrapText="1"/>
    </xf>
    <xf numFmtId="0" fontId="8" fillId="0" borderId="2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8" fillId="0" borderId="4" xfId="0" applyFont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horizontal="center" vertical="top" wrapText="1"/>
    </xf>
    <xf numFmtId="0" fontId="8" fillId="0" borderId="2" xfId="0" applyFont="1" applyFill="1" applyBorder="1" applyAlignment="1">
      <alignment horizontal="left" vertical="top" wrapText="1"/>
    </xf>
    <xf numFmtId="0" fontId="8" fillId="0" borderId="3" xfId="0" applyFont="1" applyFill="1" applyBorder="1" applyAlignment="1">
      <alignment horizontal="left" vertical="top" wrapText="1"/>
    </xf>
    <xf numFmtId="0" fontId="8" fillId="0" borderId="4" xfId="0" applyFont="1" applyFill="1" applyBorder="1" applyAlignment="1">
      <alignment horizontal="left" vertical="top" wrapText="1"/>
    </xf>
    <xf numFmtId="0" fontId="8" fillId="0" borderId="5" xfId="0" applyFont="1" applyBorder="1" applyAlignment="1">
      <alignment horizontal="center" vertical="top" wrapText="1"/>
    </xf>
    <xf numFmtId="0" fontId="8" fillId="0" borderId="6" xfId="0" applyFont="1" applyBorder="1" applyAlignment="1">
      <alignment horizontal="center" vertical="top" wrapText="1"/>
    </xf>
    <xf numFmtId="0" fontId="8" fillId="0" borderId="7" xfId="0" applyFont="1" applyBorder="1" applyAlignment="1">
      <alignment horizontal="center" vertical="top" wrapText="1"/>
    </xf>
    <xf numFmtId="0" fontId="8" fillId="0" borderId="8" xfId="0" applyFont="1" applyBorder="1" applyAlignment="1">
      <alignment horizontal="center" vertical="top" wrapText="1"/>
    </xf>
    <xf numFmtId="0" fontId="8" fillId="0" borderId="9" xfId="0" applyFont="1" applyBorder="1" applyAlignment="1">
      <alignment horizontal="center" vertical="top" wrapText="1"/>
    </xf>
    <xf numFmtId="0" fontId="8" fillId="0" borderId="10" xfId="0" applyFont="1" applyBorder="1" applyAlignment="1">
      <alignment horizontal="center" vertical="top" wrapText="1"/>
    </xf>
    <xf numFmtId="0" fontId="13" fillId="0" borderId="0" xfId="0" applyFont="1" applyAlignment="1">
      <alignment horizontal="left"/>
    </xf>
    <xf numFmtId="49" fontId="8" fillId="0" borderId="2" xfId="0" applyNumberFormat="1" applyFont="1" applyFill="1" applyBorder="1" applyAlignment="1">
      <alignment horizontal="center" vertical="top" wrapText="1"/>
    </xf>
    <xf numFmtId="49" fontId="8" fillId="0" borderId="3" xfId="0" applyNumberFormat="1" applyFont="1" applyFill="1" applyBorder="1" applyAlignment="1">
      <alignment horizontal="center" vertical="top" wrapText="1"/>
    </xf>
    <xf numFmtId="49" fontId="8" fillId="0" borderId="4" xfId="0" applyNumberFormat="1" applyFont="1" applyFill="1" applyBorder="1" applyAlignment="1">
      <alignment horizontal="center" vertical="top" wrapText="1"/>
    </xf>
    <xf numFmtId="0" fontId="8" fillId="0" borderId="1" xfId="1" applyFont="1" applyBorder="1" applyAlignment="1">
      <alignment horizontal="center" vertical="top" wrapText="1"/>
    </xf>
    <xf numFmtId="0" fontId="8" fillId="0" borderId="2" xfId="0" applyNumberFormat="1" applyFont="1" applyFill="1" applyBorder="1" applyAlignment="1">
      <alignment horizontal="center" vertical="top" wrapText="1"/>
    </xf>
    <xf numFmtId="0" fontId="8" fillId="0" borderId="3" xfId="0" applyNumberFormat="1" applyFont="1" applyFill="1" applyBorder="1" applyAlignment="1">
      <alignment horizontal="center" vertical="top" wrapText="1"/>
    </xf>
    <xf numFmtId="0" fontId="8" fillId="0" borderId="4" xfId="0" applyNumberFormat="1" applyFont="1" applyFill="1" applyBorder="1" applyAlignment="1">
      <alignment horizontal="center" vertical="top" wrapText="1"/>
    </xf>
    <xf numFmtId="0" fontId="8" fillId="0" borderId="1" xfId="1" applyNumberFormat="1" applyFont="1" applyBorder="1" applyAlignment="1">
      <alignment horizontal="center" vertical="top" wrapText="1"/>
    </xf>
    <xf numFmtId="0" fontId="8" fillId="0" borderId="2" xfId="1" applyFont="1" applyBorder="1" applyAlignment="1">
      <alignment vertical="top" wrapText="1"/>
    </xf>
    <xf numFmtId="0" fontId="8" fillId="0" borderId="3" xfId="1" applyFont="1" applyBorder="1" applyAlignment="1">
      <alignment vertical="top" wrapText="1"/>
    </xf>
    <xf numFmtId="0" fontId="8" fillId="0" borderId="4" xfId="1" applyFont="1" applyBorder="1" applyAlignment="1">
      <alignment vertical="top" wrapText="1"/>
    </xf>
    <xf numFmtId="0" fontId="8" fillId="0" borderId="5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16" fillId="0" borderId="0" xfId="0" applyFont="1" applyFill="1" applyAlignment="1">
      <alignment horizontal="center" wrapText="1"/>
    </xf>
    <xf numFmtId="0" fontId="3" fillId="0" borderId="0" xfId="0" applyFont="1" applyFill="1" applyAlignment="1">
      <alignment horizontal="center"/>
    </xf>
    <xf numFmtId="164" fontId="3" fillId="0" borderId="0" xfId="0" applyNumberFormat="1" applyFont="1" applyFill="1" applyAlignment="1">
      <alignment horizontal="center"/>
    </xf>
  </cellXfs>
  <cellStyles count="2">
    <cellStyle name="Обычный" xfId="0" builtinId="0"/>
    <cellStyle name="Обычный 3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A1:I8"/>
  <sheetViews>
    <sheetView zoomScale="90" zoomScaleNormal="90" workbookViewId="0">
      <selection activeCell="B22" sqref="B22"/>
    </sheetView>
  </sheetViews>
  <sheetFormatPr defaultRowHeight="15" x14ac:dyDescent="0.25"/>
  <cols>
    <col min="1" max="1" width="7.140625" customWidth="1"/>
    <col min="2" max="2" width="56" customWidth="1"/>
    <col min="3" max="3" width="14.7109375" customWidth="1"/>
    <col min="4" max="4" width="13.7109375" customWidth="1"/>
    <col min="5" max="5" width="14.140625" customWidth="1"/>
    <col min="6" max="6" width="14.85546875" customWidth="1"/>
    <col min="7" max="7" width="12.85546875" customWidth="1"/>
    <col min="8" max="8" width="13.7109375" customWidth="1"/>
    <col min="9" max="9" width="14.140625" customWidth="1"/>
    <col min="10" max="10" width="11.42578125" bestFit="1" customWidth="1"/>
  </cols>
  <sheetData>
    <row r="1" spans="1:9" ht="51" customHeight="1" x14ac:dyDescent="0.25">
      <c r="A1" s="65" t="s">
        <v>12</v>
      </c>
      <c r="B1" s="65"/>
      <c r="C1" s="65"/>
      <c r="D1" s="65"/>
      <c r="E1" s="65"/>
      <c r="F1" s="65"/>
      <c r="G1" s="65"/>
      <c r="H1" s="65"/>
      <c r="I1" s="65"/>
    </row>
    <row r="2" spans="1:9" ht="21" customHeight="1" x14ac:dyDescent="0.25">
      <c r="A2" t="s">
        <v>13</v>
      </c>
      <c r="B2" s="7"/>
      <c r="C2" s="7"/>
      <c r="D2" s="7"/>
      <c r="E2" s="7"/>
      <c r="F2" s="7"/>
      <c r="G2" s="7"/>
      <c r="H2" s="7"/>
      <c r="I2" s="7"/>
    </row>
    <row r="3" spans="1:9" ht="94.5" customHeight="1" x14ac:dyDescent="0.25">
      <c r="A3" s="9" t="s">
        <v>7</v>
      </c>
      <c r="B3" s="8" t="s">
        <v>9</v>
      </c>
      <c r="C3" s="8" t="s">
        <v>2</v>
      </c>
      <c r="D3" s="8" t="s">
        <v>1</v>
      </c>
      <c r="E3" s="8" t="s">
        <v>0</v>
      </c>
      <c r="F3" s="8" t="s">
        <v>3</v>
      </c>
      <c r="G3" s="8" t="s">
        <v>4</v>
      </c>
      <c r="H3" s="8" t="s">
        <v>5</v>
      </c>
      <c r="I3" s="8" t="s">
        <v>6</v>
      </c>
    </row>
    <row r="4" spans="1:9" ht="18" customHeight="1" x14ac:dyDescent="0.25">
      <c r="A4" s="9">
        <v>1</v>
      </c>
      <c r="B4" s="1">
        <v>2</v>
      </c>
      <c r="C4" s="1">
        <v>5</v>
      </c>
      <c r="D4" s="1">
        <v>6</v>
      </c>
      <c r="E4" s="1">
        <v>7</v>
      </c>
      <c r="F4" s="6">
        <v>8</v>
      </c>
      <c r="G4" s="6">
        <v>9</v>
      </c>
      <c r="H4" s="6">
        <v>10</v>
      </c>
      <c r="I4" s="6">
        <v>11</v>
      </c>
    </row>
    <row r="5" spans="1:9" ht="31.5" x14ac:dyDescent="0.25">
      <c r="A5" s="10" t="s">
        <v>8</v>
      </c>
      <c r="B5" s="2" t="s">
        <v>11</v>
      </c>
      <c r="C5" s="3">
        <v>110411.6</v>
      </c>
      <c r="D5" s="3">
        <v>120411.6</v>
      </c>
      <c r="E5" s="3">
        <v>120411.6</v>
      </c>
      <c r="F5" s="3">
        <f>E5*F6</f>
        <v>118846.24920000001</v>
      </c>
      <c r="G5" s="3">
        <f>F5*G6</f>
        <v>122055.09792839999</v>
      </c>
      <c r="H5" s="3">
        <f>G5*H6</f>
        <v>125594.69576832358</v>
      </c>
      <c r="I5" s="3">
        <f>H5*I6</f>
        <v>128357.7790752267</v>
      </c>
    </row>
    <row r="6" spans="1:9" s="12" customFormat="1" ht="15.75" x14ac:dyDescent="0.25">
      <c r="A6" s="11"/>
      <c r="B6" s="14" t="s">
        <v>10</v>
      </c>
      <c r="C6" s="15"/>
      <c r="D6" s="15"/>
      <c r="E6" s="15"/>
      <c r="F6" s="16">
        <v>0.98699999999999999</v>
      </c>
      <c r="G6" s="16">
        <v>1.0269999999999999</v>
      </c>
      <c r="H6" s="16">
        <v>1.0289999999999999</v>
      </c>
      <c r="I6" s="16">
        <v>1.022</v>
      </c>
    </row>
    <row r="7" spans="1:9" x14ac:dyDescent="0.25">
      <c r="B7" s="4"/>
      <c r="C7" s="4"/>
      <c r="D7" s="4"/>
      <c r="E7" s="4"/>
      <c r="F7" s="4"/>
      <c r="G7" s="4"/>
      <c r="H7" s="4"/>
      <c r="I7" s="4"/>
    </row>
    <row r="8" spans="1:9" x14ac:dyDescent="0.25">
      <c r="B8" s="5"/>
      <c r="C8" s="13"/>
      <c r="D8" s="13"/>
      <c r="E8" s="13"/>
      <c r="F8" s="13"/>
      <c r="G8" s="13"/>
      <c r="H8" s="13"/>
      <c r="I8" s="13"/>
    </row>
  </sheetData>
  <mergeCells count="1">
    <mergeCell ref="A1:I1"/>
  </mergeCells>
  <pageMargins left="0.51181102362204722" right="0.31496062992125984" top="0.55118110236220474" bottom="0.19685039370078741" header="0" footer="0"/>
  <pageSetup paperSize="8" scale="8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3"/>
  <sheetViews>
    <sheetView topLeftCell="A5" workbookViewId="0">
      <pane xSplit="6" ySplit="16" topLeftCell="G21" activePane="bottomRight" state="frozen"/>
      <selection activeCell="A5" sqref="A5"/>
      <selection pane="topRight" activeCell="G5" sqref="G5"/>
      <selection pane="bottomLeft" activeCell="A21" sqref="A21"/>
      <selection pane="bottomRight" activeCell="A9" sqref="A9:K9"/>
    </sheetView>
  </sheetViews>
  <sheetFormatPr defaultRowHeight="15" x14ac:dyDescent="0.25"/>
  <cols>
    <col min="1" max="1" width="7.140625" customWidth="1"/>
    <col min="2" max="2" width="56" customWidth="1"/>
    <col min="3" max="3" width="14.7109375" customWidth="1"/>
    <col min="4" max="4" width="13.7109375" customWidth="1"/>
    <col min="5" max="5" width="14.140625" customWidth="1"/>
    <col min="6" max="6" width="14.85546875" customWidth="1"/>
    <col min="7" max="7" width="12.85546875" customWidth="1"/>
    <col min="8" max="8" width="13.7109375" customWidth="1"/>
    <col min="9" max="9" width="14.140625" customWidth="1"/>
    <col min="10" max="10" width="11.5703125" bestFit="1" customWidth="1"/>
    <col min="11" max="11" width="13.28515625" customWidth="1"/>
  </cols>
  <sheetData>
    <row r="1" spans="1:11" ht="51" customHeight="1" x14ac:dyDescent="0.25">
      <c r="A1" s="65" t="s">
        <v>12</v>
      </c>
      <c r="B1" s="65"/>
      <c r="C1" s="65"/>
      <c r="D1" s="65"/>
      <c r="E1" s="65"/>
      <c r="F1" s="65"/>
      <c r="G1" s="65"/>
      <c r="H1" s="65"/>
      <c r="I1" s="65"/>
    </row>
    <row r="2" spans="1:11" ht="21" customHeight="1" x14ac:dyDescent="0.25">
      <c r="A2" t="s">
        <v>13</v>
      </c>
      <c r="B2" s="7"/>
      <c r="C2" s="7"/>
      <c r="D2" s="7"/>
      <c r="E2" s="7"/>
      <c r="F2" s="7"/>
      <c r="G2" s="7"/>
      <c r="H2" s="7"/>
      <c r="I2" s="7"/>
    </row>
    <row r="3" spans="1:11" ht="94.5" customHeight="1" x14ac:dyDescent="0.25">
      <c r="A3" s="9" t="s">
        <v>7</v>
      </c>
      <c r="B3" s="8" t="s">
        <v>9</v>
      </c>
      <c r="C3" s="8" t="s">
        <v>2</v>
      </c>
      <c r="D3" s="8" t="s">
        <v>1</v>
      </c>
      <c r="E3" s="8" t="s">
        <v>0</v>
      </c>
      <c r="F3" s="8" t="s">
        <v>3</v>
      </c>
      <c r="G3" s="8" t="s">
        <v>4</v>
      </c>
      <c r="H3" s="8" t="s">
        <v>5</v>
      </c>
      <c r="I3" s="8" t="s">
        <v>6</v>
      </c>
    </row>
    <row r="4" spans="1:11" ht="18" customHeight="1" x14ac:dyDescent="0.25">
      <c r="A4" s="9">
        <v>1</v>
      </c>
      <c r="B4" s="1">
        <v>2</v>
      </c>
      <c r="C4" s="1">
        <v>5</v>
      </c>
      <c r="D4" s="1">
        <v>6</v>
      </c>
      <c r="E4" s="1">
        <v>7</v>
      </c>
      <c r="F4" s="6">
        <v>8</v>
      </c>
      <c r="G4" s="6">
        <v>9</v>
      </c>
      <c r="H4" s="6">
        <v>10</v>
      </c>
      <c r="I4" s="6">
        <v>11</v>
      </c>
    </row>
    <row r="5" spans="1:11" ht="31.5" x14ac:dyDescent="0.25">
      <c r="A5" s="10" t="s">
        <v>8</v>
      </c>
      <c r="B5" s="2" t="s">
        <v>11</v>
      </c>
      <c r="C5" s="3">
        <v>114911.6</v>
      </c>
      <c r="D5" s="3">
        <v>120411.6</v>
      </c>
      <c r="E5" s="3">
        <v>120411.6</v>
      </c>
      <c r="F5" s="3">
        <f>E5*F6</f>
        <v>118605.42600000001</v>
      </c>
      <c r="G5" s="3">
        <f>F5*G6</f>
        <v>121807.77250199999</v>
      </c>
      <c r="H5" s="3">
        <f>G5*H6</f>
        <v>125340.19790455798</v>
      </c>
      <c r="I5" s="3">
        <f>H5*I6</f>
        <v>128097.68225845826</v>
      </c>
    </row>
    <row r="6" spans="1:11" s="12" customFormat="1" ht="15.75" x14ac:dyDescent="0.25">
      <c r="A6" s="11"/>
      <c r="B6" s="14" t="s">
        <v>10</v>
      </c>
      <c r="C6" s="15"/>
      <c r="D6" s="15"/>
      <c r="E6" s="15"/>
      <c r="F6" s="16">
        <v>0.98499999999999999</v>
      </c>
      <c r="G6" s="16">
        <v>1.0269999999999999</v>
      </c>
      <c r="H6" s="16">
        <v>1.0289999999999999</v>
      </c>
      <c r="I6" s="16">
        <v>1.022</v>
      </c>
    </row>
    <row r="7" spans="1:11" x14ac:dyDescent="0.25">
      <c r="B7" s="4"/>
      <c r="C7" s="4"/>
      <c r="D7" s="4">
        <f>D5+30000</f>
        <v>150411.6</v>
      </c>
      <c r="E7" s="4"/>
      <c r="F7" s="4"/>
      <c r="G7" s="4"/>
      <c r="H7" s="4"/>
      <c r="I7" s="4"/>
      <c r="J7" s="23">
        <f>D7+E5+F5+G5+H5+I5</f>
        <v>764674.27866501629</v>
      </c>
    </row>
    <row r="8" spans="1:11" x14ac:dyDescent="0.25">
      <c r="B8" s="5"/>
      <c r="C8" s="13"/>
      <c r="D8" s="13"/>
      <c r="E8" s="13"/>
      <c r="F8" s="13"/>
      <c r="G8" s="13"/>
      <c r="H8" s="13"/>
      <c r="I8" s="13"/>
      <c r="J8">
        <v>582000</v>
      </c>
      <c r="K8" s="23">
        <f>J7+J8</f>
        <v>1346674.2786650164</v>
      </c>
    </row>
    <row r="9" spans="1:11" x14ac:dyDescent="0.25">
      <c r="A9" s="66" t="s">
        <v>14</v>
      </c>
      <c r="B9" s="66"/>
      <c r="C9" s="66"/>
      <c r="D9" s="66"/>
      <c r="E9" s="66"/>
      <c r="F9" s="66"/>
      <c r="G9" s="66"/>
      <c r="H9" s="66"/>
      <c r="I9" s="66"/>
      <c r="J9" s="66"/>
      <c r="K9" s="66"/>
    </row>
    <row r="10" spans="1:11" x14ac:dyDescent="0.25">
      <c r="A10" s="66" t="s">
        <v>15</v>
      </c>
      <c r="B10" s="66"/>
      <c r="C10" s="66"/>
      <c r="D10" s="66"/>
      <c r="E10" s="66"/>
      <c r="F10" s="66"/>
      <c r="G10" s="66"/>
      <c r="H10" s="66"/>
      <c r="I10" s="66"/>
      <c r="J10" s="66"/>
      <c r="K10" s="66"/>
    </row>
    <row r="11" spans="1:11" x14ac:dyDescent="0.25">
      <c r="A11" s="17" t="s">
        <v>43</v>
      </c>
      <c r="B11" s="18"/>
      <c r="C11" s="18"/>
      <c r="D11" s="18"/>
      <c r="E11" s="18"/>
      <c r="F11" s="18"/>
      <c r="G11" s="22">
        <v>98.5</v>
      </c>
      <c r="H11" s="22">
        <v>102.7</v>
      </c>
      <c r="I11" s="22">
        <v>102.9</v>
      </c>
      <c r="J11" s="22">
        <v>102.2</v>
      </c>
      <c r="K11" s="18"/>
    </row>
    <row r="12" spans="1:11" x14ac:dyDescent="0.25">
      <c r="A12" s="67" t="s">
        <v>7</v>
      </c>
      <c r="B12" s="67" t="s">
        <v>16</v>
      </c>
      <c r="C12" s="67" t="s">
        <v>17</v>
      </c>
      <c r="D12" s="67" t="s">
        <v>18</v>
      </c>
      <c r="E12" s="67" t="s">
        <v>19</v>
      </c>
      <c r="F12" s="67"/>
      <c r="G12" s="67"/>
      <c r="H12" s="67"/>
      <c r="I12" s="67"/>
      <c r="J12" s="67"/>
      <c r="K12" s="67"/>
    </row>
    <row r="13" spans="1:11" x14ac:dyDescent="0.25">
      <c r="A13" s="67"/>
      <c r="B13" s="67"/>
      <c r="C13" s="67"/>
      <c r="D13" s="67"/>
      <c r="E13" s="67"/>
      <c r="F13" s="67"/>
      <c r="G13" s="67"/>
      <c r="H13" s="67"/>
      <c r="I13" s="67"/>
      <c r="J13" s="67"/>
      <c r="K13" s="67"/>
    </row>
    <row r="14" spans="1:11" x14ac:dyDescent="0.25">
      <c r="A14" s="67"/>
      <c r="B14" s="67"/>
      <c r="C14" s="67"/>
      <c r="D14" s="67"/>
      <c r="E14" s="19" t="s">
        <v>1</v>
      </c>
      <c r="F14" s="19" t="s">
        <v>0</v>
      </c>
      <c r="G14" s="20" t="s">
        <v>3</v>
      </c>
      <c r="H14" s="19" t="s">
        <v>4</v>
      </c>
      <c r="I14" s="19" t="s">
        <v>5</v>
      </c>
      <c r="J14" s="19" t="s">
        <v>6</v>
      </c>
      <c r="K14" s="19" t="s">
        <v>20</v>
      </c>
    </row>
    <row r="15" spans="1:11" x14ac:dyDescent="0.25">
      <c r="A15" s="19">
        <v>1</v>
      </c>
      <c r="B15" s="19">
        <v>2</v>
      </c>
      <c r="C15" s="19">
        <v>3</v>
      </c>
      <c r="D15" s="19">
        <v>4</v>
      </c>
      <c r="E15" s="19">
        <v>5</v>
      </c>
      <c r="F15" s="19">
        <v>6</v>
      </c>
      <c r="G15" s="19">
        <v>7</v>
      </c>
      <c r="H15" s="19">
        <v>8</v>
      </c>
      <c r="I15" s="19">
        <v>9</v>
      </c>
      <c r="J15" s="19">
        <v>10</v>
      </c>
      <c r="K15" s="19">
        <v>11</v>
      </c>
    </row>
    <row r="16" spans="1:11" x14ac:dyDescent="0.25">
      <c r="A16" s="70" t="s">
        <v>21</v>
      </c>
      <c r="B16" s="71" t="s">
        <v>22</v>
      </c>
      <c r="C16" s="67" t="s">
        <v>23</v>
      </c>
      <c r="D16" s="19" t="s">
        <v>20</v>
      </c>
      <c r="E16" s="21">
        <f t="shared" ref="E16:J16" si="0">SUM(E17:E20)</f>
        <v>9486.7999999999993</v>
      </c>
      <c r="F16" s="21">
        <f t="shared" si="0"/>
        <v>9577</v>
      </c>
      <c r="G16" s="21">
        <f t="shared" si="0"/>
        <v>8112.2207999999991</v>
      </c>
      <c r="H16" s="21">
        <f t="shared" si="0"/>
        <v>8368.5918303999988</v>
      </c>
      <c r="I16" s="21">
        <f t="shared" si="0"/>
        <v>8645.3593863951992</v>
      </c>
      <c r="J16" s="21">
        <f t="shared" si="0"/>
        <v>8888.8729386092218</v>
      </c>
      <c r="K16" s="21">
        <f>K17+K18+K19+K20</f>
        <v>53078.84495540442</v>
      </c>
    </row>
    <row r="17" spans="1:11" x14ac:dyDescent="0.25">
      <c r="A17" s="70"/>
      <c r="B17" s="71"/>
      <c r="C17" s="67"/>
      <c r="D17" s="19" t="s">
        <v>24</v>
      </c>
      <c r="E17" s="21">
        <v>0</v>
      </c>
      <c r="F17" s="21">
        <v>0</v>
      </c>
      <c r="G17" s="21">
        <v>0</v>
      </c>
      <c r="H17" s="21">
        <v>0</v>
      </c>
      <c r="I17" s="21">
        <v>0</v>
      </c>
      <c r="J17" s="21">
        <v>0</v>
      </c>
      <c r="K17" s="21">
        <f>SUM(E17:J17)</f>
        <v>0</v>
      </c>
    </row>
    <row r="18" spans="1:11" x14ac:dyDescent="0.25">
      <c r="A18" s="70"/>
      <c r="B18" s="71"/>
      <c r="C18" s="67"/>
      <c r="D18" s="19" t="s">
        <v>25</v>
      </c>
      <c r="E18" s="21">
        <v>1473</v>
      </c>
      <c r="F18" s="21">
        <v>1473</v>
      </c>
      <c r="G18" s="21">
        <v>0</v>
      </c>
      <c r="H18" s="21">
        <v>0</v>
      </c>
      <c r="I18" s="21">
        <v>0</v>
      </c>
      <c r="J18" s="21">
        <v>0</v>
      </c>
      <c r="K18" s="21">
        <f>SUM(E18:J18)</f>
        <v>2946</v>
      </c>
    </row>
    <row r="19" spans="1:11" x14ac:dyDescent="0.25">
      <c r="A19" s="70"/>
      <c r="B19" s="71"/>
      <c r="C19" s="67"/>
      <c r="D19" s="19" t="s">
        <v>26</v>
      </c>
      <c r="E19" s="21">
        <v>5866.4</v>
      </c>
      <c r="F19" s="21">
        <v>5866.4</v>
      </c>
      <c r="G19" s="21">
        <f>F19*98.5%</f>
        <v>5778.4039999999995</v>
      </c>
      <c r="H19" s="21">
        <f>G19*102.7%</f>
        <v>5934.4209080000001</v>
      </c>
      <c r="I19" s="21">
        <f>H19*102.9%</f>
        <v>6106.5191143320008</v>
      </c>
      <c r="J19" s="21">
        <f>I19*102.2%</f>
        <v>6240.8625348473051</v>
      </c>
      <c r="K19" s="21">
        <f>SUM(E19:J19)</f>
        <v>35793.006557179302</v>
      </c>
    </row>
    <row r="20" spans="1:11" x14ac:dyDescent="0.25">
      <c r="A20" s="70"/>
      <c r="B20" s="71"/>
      <c r="C20" s="67"/>
      <c r="D20" s="19" t="s">
        <v>27</v>
      </c>
      <c r="E20" s="21">
        <v>2147.4</v>
      </c>
      <c r="F20" s="21">
        <v>2237.6</v>
      </c>
      <c r="G20" s="21">
        <f>F20*104.3%</f>
        <v>2333.8167999999996</v>
      </c>
      <c r="H20" s="21">
        <f>G20*104.3%</f>
        <v>2434.1709223999992</v>
      </c>
      <c r="I20" s="21">
        <f>H20*104.3%</f>
        <v>2538.8402720631989</v>
      </c>
      <c r="J20" s="21">
        <f>I20*104.3%</f>
        <v>2648.0104037619162</v>
      </c>
      <c r="K20" s="21">
        <f>SUM(E20:J20)</f>
        <v>14339.838398225114</v>
      </c>
    </row>
    <row r="21" spans="1:11" x14ac:dyDescent="0.25">
      <c r="A21" s="72" t="s">
        <v>28</v>
      </c>
      <c r="B21" s="74" t="s">
        <v>29</v>
      </c>
      <c r="C21" s="76" t="s">
        <v>23</v>
      </c>
      <c r="D21" s="19" t="s">
        <v>20</v>
      </c>
      <c r="E21" s="21">
        <f t="shared" ref="E21:J21" si="1">SUM(E22:E25)</f>
        <v>95455.2</v>
      </c>
      <c r="F21" s="21">
        <f t="shared" si="1"/>
        <v>97455.2</v>
      </c>
      <c r="G21" s="21">
        <f t="shared" si="1"/>
        <v>99172.772000000012</v>
      </c>
      <c r="H21" s="21">
        <f t="shared" si="1"/>
        <v>101850.43684400001</v>
      </c>
      <c r="I21" s="21">
        <f t="shared" si="1"/>
        <v>104644.41354187604</v>
      </c>
      <c r="J21" s="21">
        <f t="shared" si="1"/>
        <v>107356.58436931283</v>
      </c>
      <c r="K21" s="21">
        <f>K22+K23+K24+K25</f>
        <v>605934.6067551889</v>
      </c>
    </row>
    <row r="22" spans="1:11" x14ac:dyDescent="0.25">
      <c r="A22" s="73"/>
      <c r="B22" s="75"/>
      <c r="C22" s="77"/>
      <c r="D22" s="19" t="s">
        <v>24</v>
      </c>
      <c r="E22" s="21">
        <v>0</v>
      </c>
      <c r="F22" s="21">
        <v>0</v>
      </c>
      <c r="G22" s="21">
        <v>0</v>
      </c>
      <c r="H22" s="21">
        <v>0</v>
      </c>
      <c r="I22" s="21">
        <v>0</v>
      </c>
      <c r="J22" s="21">
        <v>0</v>
      </c>
      <c r="K22" s="21">
        <f>SUM(E22:J22)</f>
        <v>0</v>
      </c>
    </row>
    <row r="23" spans="1:11" x14ac:dyDescent="0.25">
      <c r="A23" s="73"/>
      <c r="B23" s="75"/>
      <c r="C23" s="77"/>
      <c r="D23" s="19" t="s">
        <v>25</v>
      </c>
      <c r="E23" s="21">
        <v>0</v>
      </c>
      <c r="F23" s="21">
        <v>0</v>
      </c>
      <c r="G23" s="21">
        <v>0</v>
      </c>
      <c r="H23" s="21">
        <v>0</v>
      </c>
      <c r="I23" s="21">
        <v>0</v>
      </c>
      <c r="J23" s="21">
        <v>0</v>
      </c>
      <c r="K23" s="21">
        <f>SUM(E23:J23)</f>
        <v>0</v>
      </c>
    </row>
    <row r="24" spans="1:11" x14ac:dyDescent="0.25">
      <c r="A24" s="73"/>
      <c r="B24" s="75"/>
      <c r="C24" s="77"/>
      <c r="D24" s="19" t="s">
        <v>26</v>
      </c>
      <c r="E24" s="21">
        <v>21755.200000000001</v>
      </c>
      <c r="F24" s="21">
        <v>21755.200000000001</v>
      </c>
      <c r="G24" s="21">
        <f>F24*98.5%</f>
        <v>21428.871999999999</v>
      </c>
      <c r="H24" s="21">
        <f>G24*102.7%</f>
        <v>22007.451544000003</v>
      </c>
      <c r="I24" s="21">
        <f>H24*102.9%</f>
        <v>22645.667638776005</v>
      </c>
      <c r="J24" s="21">
        <f>I24*102.2%</f>
        <v>23143.872326829078</v>
      </c>
      <c r="K24" s="21">
        <f>SUM(E24:J24)</f>
        <v>132736.26350960508</v>
      </c>
    </row>
    <row r="25" spans="1:11" x14ac:dyDescent="0.25">
      <c r="A25" s="73"/>
      <c r="B25" s="75"/>
      <c r="C25" s="78"/>
      <c r="D25" s="19" t="s">
        <v>27</v>
      </c>
      <c r="E25" s="21">
        <v>73700</v>
      </c>
      <c r="F25" s="21">
        <v>75700</v>
      </c>
      <c r="G25" s="21">
        <f>F25*102.7%</f>
        <v>77743.900000000009</v>
      </c>
      <c r="H25" s="21">
        <f>G25*102.7%</f>
        <v>79842.985300000015</v>
      </c>
      <c r="I25" s="21">
        <f>H25*102.7%</f>
        <v>81998.745903100033</v>
      </c>
      <c r="J25" s="21">
        <f>I25*102.7%</f>
        <v>84212.712042483749</v>
      </c>
      <c r="K25" s="21">
        <f>SUM(E25:J25)</f>
        <v>473198.34324558382</v>
      </c>
    </row>
    <row r="26" spans="1:11" x14ac:dyDescent="0.25">
      <c r="A26" s="68" t="s">
        <v>30</v>
      </c>
      <c r="B26" s="69" t="s">
        <v>31</v>
      </c>
      <c r="C26" s="67" t="s">
        <v>23</v>
      </c>
      <c r="D26" s="20" t="s">
        <v>20</v>
      </c>
      <c r="E26" s="21">
        <f t="shared" ref="E26:J26" si="2">E27+E28+E29+E30</f>
        <v>3480.1</v>
      </c>
      <c r="F26" s="21">
        <f t="shared" si="2"/>
        <v>3485.1</v>
      </c>
      <c r="G26" s="21">
        <f t="shared" si="2"/>
        <v>3075.8215</v>
      </c>
      <c r="H26" s="21">
        <f t="shared" si="2"/>
        <v>3162.5186805000003</v>
      </c>
      <c r="I26" s="21">
        <f t="shared" si="2"/>
        <v>3257.6367222345007</v>
      </c>
      <c r="J26" s="21">
        <f t="shared" si="2"/>
        <v>3332.9847301236596</v>
      </c>
      <c r="K26" s="21">
        <f>K27+K28+K29+K30</f>
        <v>19794.161632858162</v>
      </c>
    </row>
    <row r="27" spans="1:11" x14ac:dyDescent="0.25">
      <c r="A27" s="68"/>
      <c r="B27" s="69"/>
      <c r="C27" s="67"/>
      <c r="D27" s="20" t="s">
        <v>24</v>
      </c>
      <c r="E27" s="21">
        <v>0</v>
      </c>
      <c r="F27" s="21">
        <v>0</v>
      </c>
      <c r="G27" s="21">
        <v>0</v>
      </c>
      <c r="H27" s="21">
        <v>0</v>
      </c>
      <c r="I27" s="21">
        <v>0</v>
      </c>
      <c r="J27" s="21">
        <v>0</v>
      </c>
      <c r="K27" s="21">
        <f>SUM(E27:J27)</f>
        <v>0</v>
      </c>
    </row>
    <row r="28" spans="1:11" x14ac:dyDescent="0.25">
      <c r="A28" s="68"/>
      <c r="B28" s="69"/>
      <c r="C28" s="67"/>
      <c r="D28" s="20" t="s">
        <v>25</v>
      </c>
      <c r="E28" s="21">
        <v>368.2</v>
      </c>
      <c r="F28" s="21">
        <v>368.2</v>
      </c>
      <c r="G28" s="21">
        <v>0</v>
      </c>
      <c r="H28" s="21">
        <v>0</v>
      </c>
      <c r="I28" s="21">
        <v>0</v>
      </c>
      <c r="J28" s="21">
        <f>I28</f>
        <v>0</v>
      </c>
      <c r="K28" s="21">
        <f>SUM(E28:J28)</f>
        <v>736.4</v>
      </c>
    </row>
    <row r="29" spans="1:11" x14ac:dyDescent="0.25">
      <c r="A29" s="68"/>
      <c r="B29" s="69"/>
      <c r="C29" s="67"/>
      <c r="D29" s="20" t="s">
        <v>26</v>
      </c>
      <c r="E29" s="21">
        <v>3071.9</v>
      </c>
      <c r="F29" s="21">
        <v>3071.9</v>
      </c>
      <c r="G29" s="21">
        <f>F29*98.5%</f>
        <v>3025.8215</v>
      </c>
      <c r="H29" s="21">
        <f>G29*102.7%</f>
        <v>3107.5186805000003</v>
      </c>
      <c r="I29" s="21">
        <f>H29*102.9%</f>
        <v>3197.6367222345007</v>
      </c>
      <c r="J29" s="21">
        <f>I29*102.2%</f>
        <v>3267.9847301236596</v>
      </c>
      <c r="K29" s="21">
        <f>SUM(E29:J29)</f>
        <v>18742.761632858161</v>
      </c>
    </row>
    <row r="30" spans="1:11" x14ac:dyDescent="0.25">
      <c r="A30" s="68"/>
      <c r="B30" s="69"/>
      <c r="C30" s="67"/>
      <c r="D30" s="20" t="s">
        <v>27</v>
      </c>
      <c r="E30" s="21">
        <v>40</v>
      </c>
      <c r="F30" s="21">
        <v>45</v>
      </c>
      <c r="G30" s="21">
        <v>50</v>
      </c>
      <c r="H30" s="21">
        <v>55</v>
      </c>
      <c r="I30" s="21">
        <v>60</v>
      </c>
      <c r="J30" s="21">
        <v>65</v>
      </c>
      <c r="K30" s="21">
        <f>SUM(E30:J30)</f>
        <v>315</v>
      </c>
    </row>
    <row r="31" spans="1:11" x14ac:dyDescent="0.25">
      <c r="A31" s="79" t="s">
        <v>38</v>
      </c>
      <c r="B31" s="69" t="s">
        <v>32</v>
      </c>
      <c r="C31" s="67" t="s">
        <v>23</v>
      </c>
      <c r="D31" s="20" t="s">
        <v>20</v>
      </c>
      <c r="E31" s="21">
        <f t="shared" ref="E31:J31" si="3">E32+E33+E34+E35</f>
        <v>5800</v>
      </c>
      <c r="F31" s="21">
        <f t="shared" si="3"/>
        <v>5800</v>
      </c>
      <c r="G31" s="21">
        <f t="shared" si="3"/>
        <v>5713</v>
      </c>
      <c r="H31" s="21">
        <f t="shared" si="3"/>
        <v>5867.2510000000011</v>
      </c>
      <c r="I31" s="21">
        <f t="shared" si="3"/>
        <v>6037.4012790000015</v>
      </c>
      <c r="J31" s="21">
        <f t="shared" si="3"/>
        <v>6170.2241071380013</v>
      </c>
      <c r="K31" s="21">
        <f>K32+K33+K34+K35</f>
        <v>35387.876386137999</v>
      </c>
    </row>
    <row r="32" spans="1:11" x14ac:dyDescent="0.25">
      <c r="A32" s="79"/>
      <c r="B32" s="69"/>
      <c r="C32" s="67"/>
      <c r="D32" s="20" t="s">
        <v>24</v>
      </c>
      <c r="E32" s="21">
        <v>0</v>
      </c>
      <c r="F32" s="21">
        <v>0</v>
      </c>
      <c r="G32" s="21">
        <v>0</v>
      </c>
      <c r="H32" s="21">
        <v>0</v>
      </c>
      <c r="I32" s="21">
        <v>0</v>
      </c>
      <c r="J32" s="21">
        <v>0</v>
      </c>
      <c r="K32" s="21">
        <f>SUM(E32:J32)</f>
        <v>0</v>
      </c>
    </row>
    <row r="33" spans="1:11" x14ac:dyDescent="0.25">
      <c r="A33" s="79"/>
      <c r="B33" s="69"/>
      <c r="C33" s="67"/>
      <c r="D33" s="20" t="s">
        <v>25</v>
      </c>
      <c r="E33" s="21">
        <v>0</v>
      </c>
      <c r="F33" s="21">
        <v>0</v>
      </c>
      <c r="G33" s="21">
        <v>0</v>
      </c>
      <c r="H33" s="21">
        <v>0</v>
      </c>
      <c r="I33" s="21">
        <v>0</v>
      </c>
      <c r="J33" s="21">
        <v>0</v>
      </c>
      <c r="K33" s="21">
        <f>SUM(E33:J33)</f>
        <v>0</v>
      </c>
    </row>
    <row r="34" spans="1:11" x14ac:dyDescent="0.25">
      <c r="A34" s="79"/>
      <c r="B34" s="69"/>
      <c r="C34" s="67"/>
      <c r="D34" s="20" t="s">
        <v>26</v>
      </c>
      <c r="E34" s="21">
        <v>5800</v>
      </c>
      <c r="F34" s="21">
        <v>5800</v>
      </c>
      <c r="G34" s="21">
        <f>F34*98.5%</f>
        <v>5713</v>
      </c>
      <c r="H34" s="21">
        <f>G34*102.7%</f>
        <v>5867.2510000000011</v>
      </c>
      <c r="I34" s="21">
        <f>H34*102.9%</f>
        <v>6037.4012790000015</v>
      </c>
      <c r="J34" s="21">
        <f>I34*102.2%</f>
        <v>6170.2241071380013</v>
      </c>
      <c r="K34" s="21">
        <f>SUM(E34:J34)</f>
        <v>35387.876386137999</v>
      </c>
    </row>
    <row r="35" spans="1:11" x14ac:dyDescent="0.25">
      <c r="A35" s="79"/>
      <c r="B35" s="69"/>
      <c r="C35" s="67"/>
      <c r="D35" s="20" t="s">
        <v>27</v>
      </c>
      <c r="E35" s="21">
        <v>0</v>
      </c>
      <c r="F35" s="21">
        <v>0</v>
      </c>
      <c r="G35" s="21">
        <v>0</v>
      </c>
      <c r="H35" s="21">
        <v>0</v>
      </c>
      <c r="I35" s="21">
        <v>0</v>
      </c>
      <c r="J35" s="21">
        <v>0</v>
      </c>
      <c r="K35" s="21">
        <f>SUM(E35:J35)</f>
        <v>0</v>
      </c>
    </row>
    <row r="36" spans="1:11" x14ac:dyDescent="0.25">
      <c r="A36" s="79" t="s">
        <v>39</v>
      </c>
      <c r="B36" s="69" t="s">
        <v>33</v>
      </c>
      <c r="C36" s="67" t="s">
        <v>23</v>
      </c>
      <c r="D36" s="20" t="s">
        <v>20</v>
      </c>
      <c r="E36" s="21">
        <f t="shared" ref="E36:J36" si="4">E39+E40</f>
        <v>2000</v>
      </c>
      <c r="F36" s="21">
        <f t="shared" si="4"/>
        <v>2000</v>
      </c>
      <c r="G36" s="21">
        <f t="shared" si="4"/>
        <v>1970</v>
      </c>
      <c r="H36" s="21">
        <f t="shared" si="4"/>
        <v>2023.1900000000003</v>
      </c>
      <c r="I36" s="21">
        <f t="shared" si="4"/>
        <v>2081.8625100000004</v>
      </c>
      <c r="J36" s="21">
        <f t="shared" si="4"/>
        <v>2127.6634852200004</v>
      </c>
      <c r="K36" s="21">
        <f>SUM(E36:J36)</f>
        <v>12202.715995220002</v>
      </c>
    </row>
    <row r="37" spans="1:11" x14ac:dyDescent="0.25">
      <c r="A37" s="79"/>
      <c r="B37" s="69"/>
      <c r="C37" s="67"/>
      <c r="D37" s="20" t="s">
        <v>24</v>
      </c>
      <c r="E37" s="21">
        <v>0</v>
      </c>
      <c r="F37" s="21">
        <v>0</v>
      </c>
      <c r="G37" s="21">
        <v>0</v>
      </c>
      <c r="H37" s="21">
        <v>0</v>
      </c>
      <c r="I37" s="21">
        <v>0</v>
      </c>
      <c r="J37" s="21">
        <v>0</v>
      </c>
      <c r="K37" s="21">
        <v>0</v>
      </c>
    </row>
    <row r="38" spans="1:11" x14ac:dyDescent="0.25">
      <c r="A38" s="79"/>
      <c r="B38" s="69"/>
      <c r="C38" s="67"/>
      <c r="D38" s="20" t="s">
        <v>25</v>
      </c>
      <c r="E38" s="21">
        <v>0</v>
      </c>
      <c r="F38" s="21">
        <v>0</v>
      </c>
      <c r="G38" s="21">
        <v>0</v>
      </c>
      <c r="H38" s="21">
        <v>0</v>
      </c>
      <c r="I38" s="21">
        <v>0</v>
      </c>
      <c r="J38" s="21">
        <v>0</v>
      </c>
      <c r="K38" s="21">
        <v>0</v>
      </c>
    </row>
    <row r="39" spans="1:11" x14ac:dyDescent="0.25">
      <c r="A39" s="79"/>
      <c r="B39" s="69"/>
      <c r="C39" s="67"/>
      <c r="D39" s="20" t="s">
        <v>26</v>
      </c>
      <c r="E39" s="21">
        <v>2000</v>
      </c>
      <c r="F39" s="21">
        <v>2000</v>
      </c>
      <c r="G39" s="21">
        <f>F39*98.5%</f>
        <v>1970</v>
      </c>
      <c r="H39" s="21">
        <f>G39*102.7%</f>
        <v>2023.1900000000003</v>
      </c>
      <c r="I39" s="21">
        <f>H39*102.9%</f>
        <v>2081.8625100000004</v>
      </c>
      <c r="J39" s="21">
        <f>I39*102.2%</f>
        <v>2127.6634852200004</v>
      </c>
      <c r="K39" s="21">
        <f>SUM(E39:J39)</f>
        <v>12202.715995220002</v>
      </c>
    </row>
    <row r="40" spans="1:11" x14ac:dyDescent="0.25">
      <c r="A40" s="79"/>
      <c r="B40" s="69"/>
      <c r="C40" s="67"/>
      <c r="D40" s="20" t="s">
        <v>27</v>
      </c>
      <c r="E40" s="21">
        <v>0</v>
      </c>
      <c r="F40" s="21">
        <v>0</v>
      </c>
      <c r="G40" s="21">
        <v>0</v>
      </c>
      <c r="H40" s="21">
        <v>0</v>
      </c>
      <c r="I40" s="21">
        <v>0</v>
      </c>
      <c r="J40" s="21">
        <v>0</v>
      </c>
      <c r="K40" s="21">
        <f>E40+F40+G40+H40+I40+J40</f>
        <v>0</v>
      </c>
    </row>
    <row r="41" spans="1:11" x14ac:dyDescent="0.25">
      <c r="A41" s="79" t="s">
        <v>40</v>
      </c>
      <c r="B41" s="69" t="s">
        <v>34</v>
      </c>
      <c r="C41" s="67" t="s">
        <v>23</v>
      </c>
      <c r="D41" s="20" t="s">
        <v>20</v>
      </c>
      <c r="E41" s="21">
        <f t="shared" ref="E41:J41" si="5">E42+E43+E44+E45</f>
        <v>31000</v>
      </c>
      <c r="F41" s="21">
        <f t="shared" si="5"/>
        <v>31000</v>
      </c>
      <c r="G41" s="21">
        <f t="shared" si="5"/>
        <v>3000</v>
      </c>
      <c r="H41" s="21">
        <f t="shared" si="5"/>
        <v>3081.0000000000005</v>
      </c>
      <c r="I41" s="21">
        <f t="shared" si="5"/>
        <v>3170.3490000000011</v>
      </c>
      <c r="J41" s="21">
        <f t="shared" si="5"/>
        <v>3240.0966780000012</v>
      </c>
      <c r="K41" s="21">
        <f>K42+K43+K44+K45</f>
        <v>74491.445678000004</v>
      </c>
    </row>
    <row r="42" spans="1:11" x14ac:dyDescent="0.25">
      <c r="A42" s="79"/>
      <c r="B42" s="69"/>
      <c r="C42" s="67"/>
      <c r="D42" s="20" t="s">
        <v>24</v>
      </c>
      <c r="E42" s="21">
        <v>0</v>
      </c>
      <c r="F42" s="21">
        <v>0</v>
      </c>
      <c r="G42" s="21">
        <v>0</v>
      </c>
      <c r="H42" s="21">
        <v>0</v>
      </c>
      <c r="I42" s="21">
        <v>0</v>
      </c>
      <c r="J42" s="21">
        <v>0</v>
      </c>
      <c r="K42" s="21">
        <f>SUM(E42:J42)</f>
        <v>0</v>
      </c>
    </row>
    <row r="43" spans="1:11" x14ac:dyDescent="0.25">
      <c r="A43" s="79"/>
      <c r="B43" s="69"/>
      <c r="C43" s="67"/>
      <c r="D43" s="20" t="s">
        <v>25</v>
      </c>
      <c r="E43" s="21">
        <v>0</v>
      </c>
      <c r="F43" s="21">
        <v>0</v>
      </c>
      <c r="G43" s="21">
        <v>0</v>
      </c>
      <c r="H43" s="21">
        <v>0</v>
      </c>
      <c r="I43" s="21">
        <v>0</v>
      </c>
      <c r="J43" s="21">
        <v>0</v>
      </c>
      <c r="K43" s="21">
        <f>SUM(E43:J43)</f>
        <v>0</v>
      </c>
    </row>
    <row r="44" spans="1:11" x14ac:dyDescent="0.25">
      <c r="A44" s="79"/>
      <c r="B44" s="69"/>
      <c r="C44" s="67"/>
      <c r="D44" s="20" t="s">
        <v>26</v>
      </c>
      <c r="E44" s="21">
        <v>31000</v>
      </c>
      <c r="F44" s="21">
        <v>31000</v>
      </c>
      <c r="G44" s="21">
        <v>3000</v>
      </c>
      <c r="H44" s="21">
        <f>G44*102.7%</f>
        <v>3081.0000000000005</v>
      </c>
      <c r="I44" s="21">
        <f>H44*102.9%</f>
        <v>3170.3490000000011</v>
      </c>
      <c r="J44" s="21">
        <f>I44*102.2%</f>
        <v>3240.0966780000012</v>
      </c>
      <c r="K44" s="21">
        <f>SUM(E44:J44)</f>
        <v>74491.445678000004</v>
      </c>
    </row>
    <row r="45" spans="1:11" x14ac:dyDescent="0.25">
      <c r="A45" s="79"/>
      <c r="B45" s="69"/>
      <c r="C45" s="67"/>
      <c r="D45" s="20" t="s">
        <v>27</v>
      </c>
      <c r="E45" s="21">
        <v>0</v>
      </c>
      <c r="F45" s="21">
        <v>0</v>
      </c>
      <c r="G45" s="21">
        <v>0</v>
      </c>
      <c r="H45" s="21">
        <v>0</v>
      </c>
      <c r="I45" s="21">
        <v>0</v>
      </c>
      <c r="J45" s="21">
        <v>0</v>
      </c>
      <c r="K45" s="21">
        <f>SUM(E45:J45)</f>
        <v>0</v>
      </c>
    </row>
    <row r="46" spans="1:11" x14ac:dyDescent="0.25">
      <c r="A46" s="79" t="s">
        <v>41</v>
      </c>
      <c r="B46" s="69" t="s">
        <v>35</v>
      </c>
      <c r="C46" s="67" t="s">
        <v>23</v>
      </c>
      <c r="D46" s="20" t="s">
        <v>20</v>
      </c>
      <c r="E46" s="21">
        <f t="shared" ref="E46:J46" si="6">E47+E48+E49+E50</f>
        <v>1800</v>
      </c>
      <c r="F46" s="21">
        <f t="shared" si="6"/>
        <v>1800</v>
      </c>
      <c r="G46" s="21">
        <f t="shared" si="6"/>
        <v>1800</v>
      </c>
      <c r="H46" s="21">
        <f t="shared" si="6"/>
        <v>1800</v>
      </c>
      <c r="I46" s="21">
        <f t="shared" si="6"/>
        <v>1800</v>
      </c>
      <c r="J46" s="21">
        <f t="shared" si="6"/>
        <v>1800</v>
      </c>
      <c r="K46" s="21">
        <f>K47+K48+K49+K50</f>
        <v>10800</v>
      </c>
    </row>
    <row r="47" spans="1:11" x14ac:dyDescent="0.25">
      <c r="A47" s="79"/>
      <c r="B47" s="69"/>
      <c r="C47" s="67"/>
      <c r="D47" s="20" t="s">
        <v>24</v>
      </c>
      <c r="E47" s="21">
        <v>0</v>
      </c>
      <c r="F47" s="21">
        <v>0</v>
      </c>
      <c r="G47" s="21">
        <v>0</v>
      </c>
      <c r="H47" s="21">
        <v>0</v>
      </c>
      <c r="I47" s="21">
        <v>0</v>
      </c>
      <c r="J47" s="21">
        <v>0</v>
      </c>
      <c r="K47" s="21">
        <f>SUM(E47:J47)</f>
        <v>0</v>
      </c>
    </row>
    <row r="48" spans="1:11" x14ac:dyDescent="0.25">
      <c r="A48" s="79"/>
      <c r="B48" s="69"/>
      <c r="C48" s="67"/>
      <c r="D48" s="20" t="s">
        <v>25</v>
      </c>
      <c r="E48" s="21">
        <v>0</v>
      </c>
      <c r="F48" s="21">
        <v>0</v>
      </c>
      <c r="G48" s="21">
        <v>0</v>
      </c>
      <c r="H48" s="21">
        <v>0</v>
      </c>
      <c r="I48" s="21">
        <v>0</v>
      </c>
      <c r="J48" s="21">
        <v>0</v>
      </c>
      <c r="K48" s="21">
        <f>SUM(E48:J48)</f>
        <v>0</v>
      </c>
    </row>
    <row r="49" spans="1:11" x14ac:dyDescent="0.25">
      <c r="A49" s="79"/>
      <c r="B49" s="69"/>
      <c r="C49" s="67"/>
      <c r="D49" s="20" t="s">
        <v>26</v>
      </c>
      <c r="E49" s="21">
        <v>1800</v>
      </c>
      <c r="F49" s="21">
        <v>1800</v>
      </c>
      <c r="G49" s="21">
        <v>1800</v>
      </c>
      <c r="H49" s="21">
        <v>1800</v>
      </c>
      <c r="I49" s="21">
        <v>1800</v>
      </c>
      <c r="J49" s="21">
        <v>1800</v>
      </c>
      <c r="K49" s="21">
        <f>SUM(E49:J49)</f>
        <v>10800</v>
      </c>
    </row>
    <row r="50" spans="1:11" x14ac:dyDescent="0.25">
      <c r="A50" s="79"/>
      <c r="B50" s="69"/>
      <c r="C50" s="67"/>
      <c r="D50" s="20" t="s">
        <v>27</v>
      </c>
      <c r="E50" s="21">
        <v>0</v>
      </c>
      <c r="F50" s="21">
        <v>0</v>
      </c>
      <c r="G50" s="21">
        <v>0</v>
      </c>
      <c r="H50" s="21">
        <v>0</v>
      </c>
      <c r="I50" s="21">
        <v>0</v>
      </c>
      <c r="J50" s="21">
        <v>0</v>
      </c>
      <c r="K50" s="21">
        <f>SUM(E50:J50)</f>
        <v>0</v>
      </c>
    </row>
    <row r="51" spans="1:11" x14ac:dyDescent="0.25">
      <c r="A51" s="79" t="s">
        <v>42</v>
      </c>
      <c r="B51" s="80" t="s">
        <v>36</v>
      </c>
      <c r="C51" s="67" t="s">
        <v>23</v>
      </c>
      <c r="D51" s="20" t="s">
        <v>20</v>
      </c>
      <c r="E51" s="21">
        <f t="shared" ref="E51:J51" si="7">E52+E53+E54+E55</f>
        <v>61607.100000000006</v>
      </c>
      <c r="F51" s="21">
        <f t="shared" si="7"/>
        <v>62166</v>
      </c>
      <c r="G51" s="21">
        <f t="shared" si="7"/>
        <v>67180.774900000004</v>
      </c>
      <c r="H51" s="21">
        <f t="shared" si="7"/>
        <v>69180.29312110001</v>
      </c>
      <c r="I51" s="21">
        <f t="shared" si="7"/>
        <v>71347.252582822926</v>
      </c>
      <c r="J51" s="21">
        <f t="shared" si="7"/>
        <v>73200.791236432022</v>
      </c>
      <c r="K51" s="21">
        <f>K52+K53+K54+K55</f>
        <v>404682.21184035495</v>
      </c>
    </row>
    <row r="52" spans="1:11" x14ac:dyDescent="0.25">
      <c r="A52" s="79"/>
      <c r="B52" s="81"/>
      <c r="C52" s="67"/>
      <c r="D52" s="20" t="s">
        <v>24</v>
      </c>
      <c r="E52" s="21">
        <v>0</v>
      </c>
      <c r="F52" s="21">
        <v>0</v>
      </c>
      <c r="G52" s="21">
        <v>0</v>
      </c>
      <c r="H52" s="21">
        <v>0</v>
      </c>
      <c r="I52" s="21">
        <v>0</v>
      </c>
      <c r="J52" s="21">
        <v>0</v>
      </c>
      <c r="K52" s="21">
        <f>SUM(E52:J52)</f>
        <v>0</v>
      </c>
    </row>
    <row r="53" spans="1:11" x14ac:dyDescent="0.25">
      <c r="A53" s="79"/>
      <c r="B53" s="81"/>
      <c r="C53" s="67"/>
      <c r="D53" s="20" t="s">
        <v>25</v>
      </c>
      <c r="E53" s="21">
        <v>2941.4</v>
      </c>
      <c r="F53" s="21">
        <v>2941.4</v>
      </c>
      <c r="G53" s="21">
        <v>0</v>
      </c>
      <c r="H53" s="21">
        <v>0</v>
      </c>
      <c r="I53" s="21">
        <v>0</v>
      </c>
      <c r="J53" s="21">
        <f>I53</f>
        <v>0</v>
      </c>
      <c r="K53" s="21">
        <f>SUM(E53:J53)</f>
        <v>5882.8</v>
      </c>
    </row>
    <row r="54" spans="1:11" x14ac:dyDescent="0.25">
      <c r="A54" s="79"/>
      <c r="B54" s="81"/>
      <c r="C54" s="67"/>
      <c r="D54" s="20" t="s">
        <v>26</v>
      </c>
      <c r="E54" s="21">
        <v>44335.5</v>
      </c>
      <c r="F54" s="21">
        <v>44335.5</v>
      </c>
      <c r="G54" s="21">
        <v>51711</v>
      </c>
      <c r="H54" s="21">
        <f>G54*102.7%</f>
        <v>53107.197000000007</v>
      </c>
      <c r="I54" s="21">
        <f>H54*102.9%</f>
        <v>54647.305713000016</v>
      </c>
      <c r="J54" s="21">
        <f>I54*102.2%</f>
        <v>55849.546438686019</v>
      </c>
      <c r="K54" s="21">
        <f>SUM(E54:J54)</f>
        <v>303986.04915168602</v>
      </c>
    </row>
    <row r="55" spans="1:11" x14ac:dyDescent="0.25">
      <c r="A55" s="79"/>
      <c r="B55" s="82"/>
      <c r="C55" s="67"/>
      <c r="D55" s="20" t="s">
        <v>27</v>
      </c>
      <c r="E55" s="21">
        <v>14330.2</v>
      </c>
      <c r="F55" s="21">
        <v>14889.1</v>
      </c>
      <c r="G55" s="21">
        <f>F55*103.9%</f>
        <v>15469.774900000002</v>
      </c>
      <c r="H55" s="21">
        <f>G55*103.9%</f>
        <v>16073.096121100005</v>
      </c>
      <c r="I55" s="21">
        <f>H55*103.9%</f>
        <v>16699.946869822907</v>
      </c>
      <c r="J55" s="21">
        <f>I55*103.9%</f>
        <v>17351.244797746003</v>
      </c>
      <c r="K55" s="21">
        <f>SUM(E55:J55)</f>
        <v>94813.362688668916</v>
      </c>
    </row>
    <row r="56" spans="1:11" x14ac:dyDescent="0.25">
      <c r="A56" s="67"/>
      <c r="B56" s="67"/>
      <c r="C56" s="67" t="s">
        <v>37</v>
      </c>
      <c r="D56" s="19" t="s">
        <v>20</v>
      </c>
      <c r="E56" s="21">
        <f t="shared" ref="E56:F60" si="8">E16+E21+E26+E31+E36+E41+E46+E51</f>
        <v>210629.2</v>
      </c>
      <c r="F56" s="21">
        <f t="shared" si="8"/>
        <v>213283.3</v>
      </c>
      <c r="G56" s="21">
        <f t="shared" ref="G56:J56" si="9">G16+G21+G26+G31+G36+G41+G46+G51</f>
        <v>190024.58920000002</v>
      </c>
      <c r="H56" s="21">
        <f t="shared" si="9"/>
        <v>195333.28147600003</v>
      </c>
      <c r="I56" s="21">
        <f t="shared" si="9"/>
        <v>200984.27502232866</v>
      </c>
      <c r="J56" s="21">
        <f t="shared" si="9"/>
        <v>206117.2175448357</v>
      </c>
      <c r="K56" s="21">
        <f t="shared" ref="K56:K60" si="10">SUM(E56:J56)</f>
        <v>1216371.8632431645</v>
      </c>
    </row>
    <row r="57" spans="1:11" x14ac:dyDescent="0.25">
      <c r="A57" s="67"/>
      <c r="B57" s="67"/>
      <c r="C57" s="67"/>
      <c r="D57" s="19" t="s">
        <v>24</v>
      </c>
      <c r="E57" s="21">
        <f t="shared" si="8"/>
        <v>0</v>
      </c>
      <c r="F57" s="21">
        <f t="shared" si="8"/>
        <v>0</v>
      </c>
      <c r="G57" s="21">
        <f t="shared" ref="G57:J57" si="11">G17+G22+G27+G32+G37+G42+G47+G52</f>
        <v>0</v>
      </c>
      <c r="H57" s="21">
        <f t="shared" si="11"/>
        <v>0</v>
      </c>
      <c r="I57" s="21">
        <f t="shared" si="11"/>
        <v>0</v>
      </c>
      <c r="J57" s="21">
        <f t="shared" si="11"/>
        <v>0</v>
      </c>
      <c r="K57" s="21">
        <f t="shared" si="10"/>
        <v>0</v>
      </c>
    </row>
    <row r="58" spans="1:11" x14ac:dyDescent="0.25">
      <c r="A58" s="67"/>
      <c r="B58" s="67"/>
      <c r="C58" s="67"/>
      <c r="D58" s="19" t="s">
        <v>25</v>
      </c>
      <c r="E58" s="21">
        <f t="shared" si="8"/>
        <v>4782.6000000000004</v>
      </c>
      <c r="F58" s="21">
        <f t="shared" si="8"/>
        <v>4782.6000000000004</v>
      </c>
      <c r="G58" s="21">
        <f t="shared" ref="G58:J58" si="12">G18+G23+G28+G33+G38+G43+G48+G53</f>
        <v>0</v>
      </c>
      <c r="H58" s="21">
        <f t="shared" si="12"/>
        <v>0</v>
      </c>
      <c r="I58" s="21">
        <f t="shared" si="12"/>
        <v>0</v>
      </c>
      <c r="J58" s="21">
        <f t="shared" si="12"/>
        <v>0</v>
      </c>
      <c r="K58" s="21">
        <f t="shared" si="10"/>
        <v>9565.2000000000007</v>
      </c>
    </row>
    <row r="59" spans="1:11" x14ac:dyDescent="0.25">
      <c r="A59" s="67"/>
      <c r="B59" s="67"/>
      <c r="C59" s="67"/>
      <c r="D59" s="19" t="s">
        <v>26</v>
      </c>
      <c r="E59" s="21">
        <f t="shared" si="8"/>
        <v>115629</v>
      </c>
      <c r="F59" s="21">
        <f t="shared" si="8"/>
        <v>115629</v>
      </c>
      <c r="G59" s="21">
        <f t="shared" ref="G59:J59" si="13">G19+G24+G29+G34+G39+G44+G49+G54</f>
        <v>94427.097500000003</v>
      </c>
      <c r="H59" s="21">
        <f t="shared" si="13"/>
        <v>96928.029132500014</v>
      </c>
      <c r="I59" s="21">
        <f t="shared" si="13"/>
        <v>99686.741977342521</v>
      </c>
      <c r="J59" s="21">
        <f t="shared" si="13"/>
        <v>101840.25030084407</v>
      </c>
      <c r="K59" s="21">
        <f t="shared" si="10"/>
        <v>624140.11891068658</v>
      </c>
    </row>
    <row r="60" spans="1:11" x14ac:dyDescent="0.25">
      <c r="A60" s="67"/>
      <c r="B60" s="67"/>
      <c r="C60" s="67"/>
      <c r="D60" s="19" t="s">
        <v>27</v>
      </c>
      <c r="E60" s="21">
        <f t="shared" si="8"/>
        <v>90217.599999999991</v>
      </c>
      <c r="F60" s="21">
        <f t="shared" si="8"/>
        <v>92871.700000000012</v>
      </c>
      <c r="G60" s="21">
        <f t="shared" ref="G60:J60" si="14">G20+G25+G30+G35+G40+G45+G50+G55</f>
        <v>95597.491700000013</v>
      </c>
      <c r="H60" s="21">
        <f t="shared" si="14"/>
        <v>98405.252343500018</v>
      </c>
      <c r="I60" s="21">
        <f t="shared" si="14"/>
        <v>101297.53304498614</v>
      </c>
      <c r="J60" s="21">
        <f t="shared" si="14"/>
        <v>104276.96724399168</v>
      </c>
      <c r="K60" s="21">
        <f t="shared" si="10"/>
        <v>582666.54433247785</v>
      </c>
    </row>
    <row r="63" spans="1:11" x14ac:dyDescent="0.25">
      <c r="G63" s="23">
        <f>F5-G59</f>
        <v>24178.328500000003</v>
      </c>
      <c r="H63" s="23">
        <f>G5-H59</f>
        <v>24879.743369499978</v>
      </c>
      <c r="I63" s="23">
        <f>H5-I59</f>
        <v>25653.455927215458</v>
      </c>
      <c r="J63" s="23">
        <f>I5-J59</f>
        <v>26257.431957614186</v>
      </c>
    </row>
  </sheetData>
  <mergeCells count="34">
    <mergeCell ref="A51:A55"/>
    <mergeCell ref="B51:B55"/>
    <mergeCell ref="C51:C55"/>
    <mergeCell ref="A56:B60"/>
    <mergeCell ref="C56:C60"/>
    <mergeCell ref="A41:A45"/>
    <mergeCell ref="B41:B45"/>
    <mergeCell ref="C41:C45"/>
    <mergeCell ref="A46:A50"/>
    <mergeCell ref="B46:B50"/>
    <mergeCell ref="C46:C50"/>
    <mergeCell ref="A31:A35"/>
    <mergeCell ref="B31:B35"/>
    <mergeCell ref="C31:C35"/>
    <mergeCell ref="A36:A40"/>
    <mergeCell ref="B36:B40"/>
    <mergeCell ref="C36:C40"/>
    <mergeCell ref="A26:A30"/>
    <mergeCell ref="B26:B30"/>
    <mergeCell ref="C26:C30"/>
    <mergeCell ref="A16:A20"/>
    <mergeCell ref="B16:B20"/>
    <mergeCell ref="C16:C20"/>
    <mergeCell ref="A21:A25"/>
    <mergeCell ref="B21:B25"/>
    <mergeCell ref="C21:C25"/>
    <mergeCell ref="A1:I1"/>
    <mergeCell ref="A9:K9"/>
    <mergeCell ref="A10:K10"/>
    <mergeCell ref="A12:A14"/>
    <mergeCell ref="B12:B14"/>
    <mergeCell ref="C12:C14"/>
    <mergeCell ref="D12:D14"/>
    <mergeCell ref="E12:K13"/>
  </mergeCells>
  <pageMargins left="0.51181102362204722" right="0.31496062992125984" top="0.55118110236220474" bottom="0.19685039370078741" header="0" footer="0"/>
  <pageSetup paperSize="8" scale="5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3"/>
  <sheetViews>
    <sheetView topLeftCell="A5" workbookViewId="0">
      <pane xSplit="6" ySplit="16" topLeftCell="G21" activePane="bottomRight" state="frozen"/>
      <selection activeCell="A5" sqref="A5"/>
      <selection pane="topRight" activeCell="G5" sqref="G5"/>
      <selection pane="bottomLeft" activeCell="A21" sqref="A21"/>
      <selection pane="bottomRight" activeCell="J7" sqref="J7:J8"/>
    </sheetView>
  </sheetViews>
  <sheetFormatPr defaultRowHeight="15" x14ac:dyDescent="0.25"/>
  <cols>
    <col min="1" max="1" width="7.140625" customWidth="1"/>
    <col min="2" max="2" width="56" customWidth="1"/>
    <col min="3" max="3" width="14.7109375" customWidth="1"/>
    <col min="4" max="4" width="13.7109375" customWidth="1"/>
    <col min="5" max="5" width="14.140625" customWidth="1"/>
    <col min="6" max="6" width="14.85546875" customWidth="1"/>
    <col min="7" max="7" width="12.85546875" customWidth="1"/>
    <col min="8" max="8" width="13.7109375" customWidth="1"/>
    <col min="9" max="9" width="14.140625" customWidth="1"/>
    <col min="10" max="10" width="11.5703125" bestFit="1" customWidth="1"/>
    <col min="11" max="11" width="13.28515625" customWidth="1"/>
  </cols>
  <sheetData>
    <row r="1" spans="1:11" ht="51" customHeight="1" x14ac:dyDescent="0.25">
      <c r="A1" s="65" t="s">
        <v>12</v>
      </c>
      <c r="B1" s="65"/>
      <c r="C1" s="65"/>
      <c r="D1" s="65"/>
      <c r="E1" s="65"/>
      <c r="F1" s="65"/>
      <c r="G1" s="65"/>
      <c r="H1" s="65"/>
      <c r="I1" s="65"/>
    </row>
    <row r="2" spans="1:11" ht="21" customHeight="1" x14ac:dyDescent="0.25">
      <c r="A2" t="s">
        <v>13</v>
      </c>
      <c r="B2" s="7"/>
      <c r="C2" s="7"/>
      <c r="D2" s="7"/>
      <c r="E2" s="7"/>
      <c r="F2" s="7"/>
      <c r="G2" s="7"/>
      <c r="H2" s="7"/>
      <c r="I2" s="7"/>
    </row>
    <row r="3" spans="1:11" ht="94.5" customHeight="1" x14ac:dyDescent="0.25">
      <c r="A3" s="9" t="s">
        <v>7</v>
      </c>
      <c r="B3" s="8" t="s">
        <v>9</v>
      </c>
      <c r="C3" s="8" t="s">
        <v>2</v>
      </c>
      <c r="D3" s="8" t="s">
        <v>1</v>
      </c>
      <c r="E3" s="8" t="s">
        <v>0</v>
      </c>
      <c r="F3" s="8" t="s">
        <v>3</v>
      </c>
      <c r="G3" s="8" t="s">
        <v>4</v>
      </c>
      <c r="H3" s="8" t="s">
        <v>5</v>
      </c>
      <c r="I3" s="8" t="s">
        <v>6</v>
      </c>
    </row>
    <row r="4" spans="1:11" ht="18" customHeight="1" x14ac:dyDescent="0.25">
      <c r="A4" s="9">
        <v>1</v>
      </c>
      <c r="B4" s="1">
        <v>2</v>
      </c>
      <c r="C4" s="1">
        <v>5</v>
      </c>
      <c r="D4" s="1">
        <v>6</v>
      </c>
      <c r="E4" s="1">
        <v>7</v>
      </c>
      <c r="F4" s="6">
        <v>8</v>
      </c>
      <c r="G4" s="6">
        <v>9</v>
      </c>
      <c r="H4" s="6">
        <v>10</v>
      </c>
      <c r="I4" s="6">
        <v>11</v>
      </c>
    </row>
    <row r="5" spans="1:11" ht="31.5" x14ac:dyDescent="0.25">
      <c r="A5" s="10" t="s">
        <v>8</v>
      </c>
      <c r="B5" s="2" t="s">
        <v>11</v>
      </c>
      <c r="C5" s="3">
        <v>114911.6</v>
      </c>
      <c r="D5" s="3">
        <v>120411.6</v>
      </c>
      <c r="E5" s="3">
        <v>120411.6</v>
      </c>
      <c r="F5" s="3">
        <f>E5*F6</f>
        <v>118605.42600000001</v>
      </c>
      <c r="G5" s="3">
        <f>F5*G6</f>
        <v>121807.77250199999</v>
      </c>
      <c r="H5" s="3">
        <f>G5*H6</f>
        <v>125340.19790455798</v>
      </c>
      <c r="I5" s="3">
        <f>H5*I6</f>
        <v>128097.68225845826</v>
      </c>
    </row>
    <row r="6" spans="1:11" s="12" customFormat="1" ht="15.75" x14ac:dyDescent="0.25">
      <c r="A6" s="11"/>
      <c r="B6" s="14" t="s">
        <v>10</v>
      </c>
      <c r="C6" s="15"/>
      <c r="D6" s="15"/>
      <c r="E6" s="15"/>
      <c r="F6" s="16">
        <v>0.98499999999999999</v>
      </c>
      <c r="G6" s="16">
        <v>1.0269999999999999</v>
      </c>
      <c r="H6" s="16">
        <v>1.0289999999999999</v>
      </c>
      <c r="I6" s="16">
        <v>1.022</v>
      </c>
    </row>
    <row r="7" spans="1:11" x14ac:dyDescent="0.25">
      <c r="B7" s="4"/>
      <c r="C7" s="4"/>
      <c r="D7" s="4">
        <f>D5+30000</f>
        <v>150411.6</v>
      </c>
      <c r="E7" s="4"/>
      <c r="F7" s="4"/>
      <c r="G7" s="4"/>
      <c r="H7" s="4"/>
      <c r="I7" s="4"/>
      <c r="J7" s="23">
        <f>D7+E5+F5+G5+H5+I5</f>
        <v>764674.27866501629</v>
      </c>
    </row>
    <row r="8" spans="1:11" x14ac:dyDescent="0.25">
      <c r="B8" s="5"/>
      <c r="C8" s="13"/>
      <c r="D8" s="13"/>
      <c r="E8" s="13"/>
      <c r="F8" s="13"/>
      <c r="G8" s="13"/>
      <c r="H8" s="13"/>
      <c r="I8" s="13"/>
      <c r="J8">
        <v>582000</v>
      </c>
      <c r="K8" s="23">
        <f>J7+J8</f>
        <v>1346674.2786650164</v>
      </c>
    </row>
    <row r="9" spans="1:11" x14ac:dyDescent="0.25">
      <c r="A9" s="66" t="s">
        <v>14</v>
      </c>
      <c r="B9" s="66"/>
      <c r="C9" s="66"/>
      <c r="D9" s="66"/>
      <c r="E9" s="66"/>
      <c r="F9" s="66"/>
      <c r="G9" s="66"/>
      <c r="H9" s="66"/>
      <c r="I9" s="66"/>
      <c r="J9" s="66"/>
      <c r="K9" s="66"/>
    </row>
    <row r="10" spans="1:11" x14ac:dyDescent="0.25">
      <c r="A10" s="66" t="s">
        <v>15</v>
      </c>
      <c r="B10" s="66"/>
      <c r="C10" s="66"/>
      <c r="D10" s="66"/>
      <c r="E10" s="66"/>
      <c r="F10" s="66"/>
      <c r="G10" s="66"/>
      <c r="H10" s="66"/>
      <c r="I10" s="66"/>
      <c r="J10" s="66"/>
      <c r="K10" s="66"/>
    </row>
    <row r="11" spans="1:11" x14ac:dyDescent="0.25">
      <c r="A11" s="17" t="s">
        <v>43</v>
      </c>
      <c r="B11" s="18"/>
      <c r="C11" s="18"/>
      <c r="D11" s="18"/>
      <c r="E11" s="18"/>
      <c r="F11" s="18"/>
      <c r="G11" s="22">
        <v>98.5</v>
      </c>
      <c r="H11" s="22">
        <v>102.7</v>
      </c>
      <c r="I11" s="22">
        <v>102.9</v>
      </c>
      <c r="J11" s="22">
        <v>102.2</v>
      </c>
      <c r="K11" s="18"/>
    </row>
    <row r="12" spans="1:11" x14ac:dyDescent="0.25">
      <c r="A12" s="67" t="s">
        <v>7</v>
      </c>
      <c r="B12" s="67" t="s">
        <v>16</v>
      </c>
      <c r="C12" s="67" t="s">
        <v>17</v>
      </c>
      <c r="D12" s="67" t="s">
        <v>18</v>
      </c>
      <c r="E12" s="67" t="s">
        <v>19</v>
      </c>
      <c r="F12" s="67"/>
      <c r="G12" s="67"/>
      <c r="H12" s="67"/>
      <c r="I12" s="67"/>
      <c r="J12" s="67"/>
      <c r="K12" s="67"/>
    </row>
    <row r="13" spans="1:11" x14ac:dyDescent="0.25">
      <c r="A13" s="67"/>
      <c r="B13" s="67"/>
      <c r="C13" s="67"/>
      <c r="D13" s="67"/>
      <c r="E13" s="67"/>
      <c r="F13" s="67"/>
      <c r="G13" s="67"/>
      <c r="H13" s="67"/>
      <c r="I13" s="67"/>
      <c r="J13" s="67"/>
      <c r="K13" s="67"/>
    </row>
    <row r="14" spans="1:11" x14ac:dyDescent="0.25">
      <c r="A14" s="67"/>
      <c r="B14" s="67"/>
      <c r="C14" s="67"/>
      <c r="D14" s="67"/>
      <c r="E14" s="24" t="s">
        <v>1</v>
      </c>
      <c r="F14" s="24" t="s">
        <v>0</v>
      </c>
      <c r="G14" s="20" t="s">
        <v>3</v>
      </c>
      <c r="H14" s="24" t="s">
        <v>4</v>
      </c>
      <c r="I14" s="24" t="s">
        <v>5</v>
      </c>
      <c r="J14" s="24" t="s">
        <v>6</v>
      </c>
      <c r="K14" s="24" t="s">
        <v>20</v>
      </c>
    </row>
    <row r="15" spans="1:11" x14ac:dyDescent="0.25">
      <c r="A15" s="24">
        <v>1</v>
      </c>
      <c r="B15" s="24">
        <v>2</v>
      </c>
      <c r="C15" s="24">
        <v>3</v>
      </c>
      <c r="D15" s="24">
        <v>4</v>
      </c>
      <c r="E15" s="24">
        <v>5</v>
      </c>
      <c r="F15" s="24">
        <v>6</v>
      </c>
      <c r="G15" s="24">
        <v>7</v>
      </c>
      <c r="H15" s="24">
        <v>8</v>
      </c>
      <c r="I15" s="24">
        <v>9</v>
      </c>
      <c r="J15" s="24">
        <v>10</v>
      </c>
      <c r="K15" s="24">
        <v>11</v>
      </c>
    </row>
    <row r="16" spans="1:11" x14ac:dyDescent="0.25">
      <c r="A16" s="70" t="s">
        <v>21</v>
      </c>
      <c r="B16" s="71" t="s">
        <v>22</v>
      </c>
      <c r="C16" s="67" t="s">
        <v>23</v>
      </c>
      <c r="D16" s="24" t="s">
        <v>20</v>
      </c>
      <c r="E16" s="21">
        <f t="shared" ref="E16:J16" si="0">SUM(E17:E20)</f>
        <v>9486.7999999999993</v>
      </c>
      <c r="F16" s="21">
        <f t="shared" si="0"/>
        <v>9577</v>
      </c>
      <c r="G16" s="21">
        <f t="shared" si="0"/>
        <v>8112.2207999999991</v>
      </c>
      <c r="H16" s="21">
        <f t="shared" si="0"/>
        <v>8368.5918303999988</v>
      </c>
      <c r="I16" s="21">
        <f t="shared" si="0"/>
        <v>8645.3593863951992</v>
      </c>
      <c r="J16" s="21">
        <f t="shared" si="0"/>
        <v>8888.8729386092218</v>
      </c>
      <c r="K16" s="21">
        <f>K17+K18+K19+K20</f>
        <v>53078.84495540442</v>
      </c>
    </row>
    <row r="17" spans="1:11" x14ac:dyDescent="0.25">
      <c r="A17" s="70"/>
      <c r="B17" s="71"/>
      <c r="C17" s="67"/>
      <c r="D17" s="24" t="s">
        <v>24</v>
      </c>
      <c r="E17" s="21">
        <v>0</v>
      </c>
      <c r="F17" s="21">
        <v>0</v>
      </c>
      <c r="G17" s="21">
        <v>0</v>
      </c>
      <c r="H17" s="21">
        <v>0</v>
      </c>
      <c r="I17" s="21">
        <v>0</v>
      </c>
      <c r="J17" s="21">
        <v>0</v>
      </c>
      <c r="K17" s="21">
        <f>SUM(E17:J17)</f>
        <v>0</v>
      </c>
    </row>
    <row r="18" spans="1:11" x14ac:dyDescent="0.25">
      <c r="A18" s="70"/>
      <c r="B18" s="71"/>
      <c r="C18" s="67"/>
      <c r="D18" s="24" t="s">
        <v>25</v>
      </c>
      <c r="E18" s="21">
        <v>1473</v>
      </c>
      <c r="F18" s="21">
        <v>1473</v>
      </c>
      <c r="G18" s="21">
        <v>0</v>
      </c>
      <c r="H18" s="21">
        <v>0</v>
      </c>
      <c r="I18" s="21">
        <v>0</v>
      </c>
      <c r="J18" s="21">
        <v>0</v>
      </c>
      <c r="K18" s="21">
        <f>SUM(E18:J18)</f>
        <v>2946</v>
      </c>
    </row>
    <row r="19" spans="1:11" x14ac:dyDescent="0.25">
      <c r="A19" s="70"/>
      <c r="B19" s="71"/>
      <c r="C19" s="67"/>
      <c r="D19" s="24" t="s">
        <v>26</v>
      </c>
      <c r="E19" s="21">
        <v>5866.4</v>
      </c>
      <c r="F19" s="21">
        <v>5866.4</v>
      </c>
      <c r="G19" s="21">
        <f>F19*98.5%</f>
        <v>5778.4039999999995</v>
      </c>
      <c r="H19" s="21">
        <f>G19*102.7%</f>
        <v>5934.4209080000001</v>
      </c>
      <c r="I19" s="21">
        <f>H19*102.9%</f>
        <v>6106.5191143320008</v>
      </c>
      <c r="J19" s="21">
        <f>I19*102.2%</f>
        <v>6240.8625348473051</v>
      </c>
      <c r="K19" s="21">
        <f>SUM(E19:J19)</f>
        <v>35793.006557179302</v>
      </c>
    </row>
    <row r="20" spans="1:11" x14ac:dyDescent="0.25">
      <c r="A20" s="70"/>
      <c r="B20" s="71"/>
      <c r="C20" s="67"/>
      <c r="D20" s="24" t="s">
        <v>27</v>
      </c>
      <c r="E20" s="21">
        <v>2147.4</v>
      </c>
      <c r="F20" s="21">
        <v>2237.6</v>
      </c>
      <c r="G20" s="21">
        <f>F20*104.3%</f>
        <v>2333.8167999999996</v>
      </c>
      <c r="H20" s="21">
        <f>G20*104.3%</f>
        <v>2434.1709223999992</v>
      </c>
      <c r="I20" s="21">
        <f>H20*104.3%</f>
        <v>2538.8402720631989</v>
      </c>
      <c r="J20" s="21">
        <f>I20*104.3%</f>
        <v>2648.0104037619162</v>
      </c>
      <c r="K20" s="21">
        <f>SUM(E20:J20)</f>
        <v>14339.838398225114</v>
      </c>
    </row>
    <row r="21" spans="1:11" x14ac:dyDescent="0.25">
      <c r="A21" s="72" t="s">
        <v>28</v>
      </c>
      <c r="B21" s="74" t="s">
        <v>29</v>
      </c>
      <c r="C21" s="76" t="s">
        <v>23</v>
      </c>
      <c r="D21" s="24" t="s">
        <v>20</v>
      </c>
      <c r="E21" s="21">
        <f t="shared" ref="E21:J21" si="1">SUM(E22:E25)</f>
        <v>95455.2</v>
      </c>
      <c r="F21" s="21">
        <f t="shared" si="1"/>
        <v>97455.2</v>
      </c>
      <c r="G21" s="21">
        <f t="shared" si="1"/>
        <v>99172.772000000012</v>
      </c>
      <c r="H21" s="21">
        <f t="shared" si="1"/>
        <v>101850.43684400001</v>
      </c>
      <c r="I21" s="21">
        <f t="shared" si="1"/>
        <v>104644.41354187604</v>
      </c>
      <c r="J21" s="21">
        <f t="shared" si="1"/>
        <v>107356.58436931283</v>
      </c>
      <c r="K21" s="21">
        <f>K22+K23+K24+K25</f>
        <v>605934.6067551889</v>
      </c>
    </row>
    <row r="22" spans="1:11" x14ac:dyDescent="0.25">
      <c r="A22" s="73"/>
      <c r="B22" s="75"/>
      <c r="C22" s="77"/>
      <c r="D22" s="24" t="s">
        <v>24</v>
      </c>
      <c r="E22" s="21">
        <v>0</v>
      </c>
      <c r="F22" s="21">
        <v>0</v>
      </c>
      <c r="G22" s="21">
        <v>0</v>
      </c>
      <c r="H22" s="21">
        <v>0</v>
      </c>
      <c r="I22" s="21">
        <v>0</v>
      </c>
      <c r="J22" s="21">
        <v>0</v>
      </c>
      <c r="K22" s="21">
        <f>SUM(E22:J22)</f>
        <v>0</v>
      </c>
    </row>
    <row r="23" spans="1:11" x14ac:dyDescent="0.25">
      <c r="A23" s="73"/>
      <c r="B23" s="75"/>
      <c r="C23" s="77"/>
      <c r="D23" s="24" t="s">
        <v>25</v>
      </c>
      <c r="E23" s="21">
        <v>0</v>
      </c>
      <c r="F23" s="21">
        <v>0</v>
      </c>
      <c r="G23" s="21">
        <v>0</v>
      </c>
      <c r="H23" s="21">
        <v>0</v>
      </c>
      <c r="I23" s="21">
        <v>0</v>
      </c>
      <c r="J23" s="21">
        <v>0</v>
      </c>
      <c r="K23" s="21">
        <f>SUM(E23:J23)</f>
        <v>0</v>
      </c>
    </row>
    <row r="24" spans="1:11" x14ac:dyDescent="0.25">
      <c r="A24" s="73"/>
      <c r="B24" s="75"/>
      <c r="C24" s="77"/>
      <c r="D24" s="24" t="s">
        <v>26</v>
      </c>
      <c r="E24" s="21">
        <v>21755.200000000001</v>
      </c>
      <c r="F24" s="21">
        <v>21755.200000000001</v>
      </c>
      <c r="G24" s="21">
        <f>F24*98.5%</f>
        <v>21428.871999999999</v>
      </c>
      <c r="H24" s="21">
        <f>G24*102.7%</f>
        <v>22007.451544000003</v>
      </c>
      <c r="I24" s="21">
        <f>H24*102.9%</f>
        <v>22645.667638776005</v>
      </c>
      <c r="J24" s="21">
        <f>I24*102.2%</f>
        <v>23143.872326829078</v>
      </c>
      <c r="K24" s="21">
        <f>SUM(E24:J24)</f>
        <v>132736.26350960508</v>
      </c>
    </row>
    <row r="25" spans="1:11" x14ac:dyDescent="0.25">
      <c r="A25" s="73"/>
      <c r="B25" s="75"/>
      <c r="C25" s="78"/>
      <c r="D25" s="24" t="s">
        <v>27</v>
      </c>
      <c r="E25" s="21">
        <v>73700</v>
      </c>
      <c r="F25" s="21">
        <v>75700</v>
      </c>
      <c r="G25" s="21">
        <f>F25*102.7%</f>
        <v>77743.900000000009</v>
      </c>
      <c r="H25" s="21">
        <f>G25*102.7%</f>
        <v>79842.985300000015</v>
      </c>
      <c r="I25" s="21">
        <f>H25*102.7%</f>
        <v>81998.745903100033</v>
      </c>
      <c r="J25" s="21">
        <f>I25*102.7%</f>
        <v>84212.712042483749</v>
      </c>
      <c r="K25" s="21">
        <f>SUM(E25:J25)</f>
        <v>473198.34324558382</v>
      </c>
    </row>
    <row r="26" spans="1:11" x14ac:dyDescent="0.25">
      <c r="A26" s="68" t="s">
        <v>30</v>
      </c>
      <c r="B26" s="69" t="s">
        <v>31</v>
      </c>
      <c r="C26" s="67" t="s">
        <v>23</v>
      </c>
      <c r="D26" s="20" t="s">
        <v>20</v>
      </c>
      <c r="E26" s="21">
        <f t="shared" ref="E26:J26" si="2">E27+E28+E29+E30</f>
        <v>3480.1</v>
      </c>
      <c r="F26" s="21">
        <f t="shared" si="2"/>
        <v>3485.1</v>
      </c>
      <c r="G26" s="21">
        <f t="shared" si="2"/>
        <v>3075.8215</v>
      </c>
      <c r="H26" s="21">
        <f t="shared" si="2"/>
        <v>3162.5186805000003</v>
      </c>
      <c r="I26" s="21">
        <f t="shared" si="2"/>
        <v>3257.6367222345007</v>
      </c>
      <c r="J26" s="21">
        <f t="shared" si="2"/>
        <v>3332.9847301236596</v>
      </c>
      <c r="K26" s="21">
        <f>K27+K28+K29+K30</f>
        <v>19794.161632858162</v>
      </c>
    </row>
    <row r="27" spans="1:11" x14ac:dyDescent="0.25">
      <c r="A27" s="68"/>
      <c r="B27" s="69"/>
      <c r="C27" s="67"/>
      <c r="D27" s="20" t="s">
        <v>24</v>
      </c>
      <c r="E27" s="21">
        <v>0</v>
      </c>
      <c r="F27" s="21">
        <v>0</v>
      </c>
      <c r="G27" s="21">
        <v>0</v>
      </c>
      <c r="H27" s="21">
        <v>0</v>
      </c>
      <c r="I27" s="21">
        <v>0</v>
      </c>
      <c r="J27" s="21">
        <v>0</v>
      </c>
      <c r="K27" s="21">
        <f>SUM(E27:J27)</f>
        <v>0</v>
      </c>
    </row>
    <row r="28" spans="1:11" x14ac:dyDescent="0.25">
      <c r="A28" s="68"/>
      <c r="B28" s="69"/>
      <c r="C28" s="67"/>
      <c r="D28" s="20" t="s">
        <v>25</v>
      </c>
      <c r="E28" s="21">
        <v>368.2</v>
      </c>
      <c r="F28" s="21">
        <v>368.2</v>
      </c>
      <c r="G28" s="21">
        <v>0</v>
      </c>
      <c r="H28" s="21">
        <v>0</v>
      </c>
      <c r="I28" s="21">
        <v>0</v>
      </c>
      <c r="J28" s="21">
        <f>I28</f>
        <v>0</v>
      </c>
      <c r="K28" s="21">
        <f>SUM(E28:J28)</f>
        <v>736.4</v>
      </c>
    </row>
    <row r="29" spans="1:11" x14ac:dyDescent="0.25">
      <c r="A29" s="68"/>
      <c r="B29" s="69"/>
      <c r="C29" s="67"/>
      <c r="D29" s="20" t="s">
        <v>26</v>
      </c>
      <c r="E29" s="21">
        <v>3071.9</v>
      </c>
      <c r="F29" s="21">
        <v>3071.9</v>
      </c>
      <c r="G29" s="21">
        <f>F29*98.5%</f>
        <v>3025.8215</v>
      </c>
      <c r="H29" s="21">
        <f>G29*102.7%</f>
        <v>3107.5186805000003</v>
      </c>
      <c r="I29" s="21">
        <f>H29*102.9%</f>
        <v>3197.6367222345007</v>
      </c>
      <c r="J29" s="21">
        <f>I29*102.2%</f>
        <v>3267.9847301236596</v>
      </c>
      <c r="K29" s="21">
        <f>SUM(E29:J29)</f>
        <v>18742.761632858161</v>
      </c>
    </row>
    <row r="30" spans="1:11" x14ac:dyDescent="0.25">
      <c r="A30" s="68"/>
      <c r="B30" s="69"/>
      <c r="C30" s="67"/>
      <c r="D30" s="20" t="s">
        <v>27</v>
      </c>
      <c r="E30" s="21">
        <v>40</v>
      </c>
      <c r="F30" s="21">
        <v>45</v>
      </c>
      <c r="G30" s="21">
        <v>50</v>
      </c>
      <c r="H30" s="21">
        <v>55</v>
      </c>
      <c r="I30" s="21">
        <v>60</v>
      </c>
      <c r="J30" s="21">
        <v>65</v>
      </c>
      <c r="K30" s="21">
        <f>SUM(E30:J30)</f>
        <v>315</v>
      </c>
    </row>
    <row r="31" spans="1:11" x14ac:dyDescent="0.25">
      <c r="A31" s="79" t="s">
        <v>38</v>
      </c>
      <c r="B31" s="69" t="s">
        <v>32</v>
      </c>
      <c r="C31" s="67" t="s">
        <v>23</v>
      </c>
      <c r="D31" s="20" t="s">
        <v>20</v>
      </c>
      <c r="E31" s="21">
        <f t="shared" ref="E31:J31" si="3">E32+E33+E34+E35</f>
        <v>5800</v>
      </c>
      <c r="F31" s="21">
        <f t="shared" si="3"/>
        <v>5800</v>
      </c>
      <c r="G31" s="21">
        <f t="shared" si="3"/>
        <v>5713</v>
      </c>
      <c r="H31" s="21">
        <f t="shared" si="3"/>
        <v>5867.2510000000011</v>
      </c>
      <c r="I31" s="21">
        <f t="shared" si="3"/>
        <v>6037.4012790000015</v>
      </c>
      <c r="J31" s="21">
        <f t="shared" si="3"/>
        <v>6170.2241071380013</v>
      </c>
      <c r="K31" s="21">
        <f>K32+K33+K34+K35</f>
        <v>35387.876386137999</v>
      </c>
    </row>
    <row r="32" spans="1:11" x14ac:dyDescent="0.25">
      <c r="A32" s="79"/>
      <c r="B32" s="69"/>
      <c r="C32" s="67"/>
      <c r="D32" s="20" t="s">
        <v>24</v>
      </c>
      <c r="E32" s="21">
        <v>0</v>
      </c>
      <c r="F32" s="21">
        <v>0</v>
      </c>
      <c r="G32" s="21">
        <v>0</v>
      </c>
      <c r="H32" s="21">
        <v>0</v>
      </c>
      <c r="I32" s="21">
        <v>0</v>
      </c>
      <c r="J32" s="21">
        <v>0</v>
      </c>
      <c r="K32" s="21">
        <f>SUM(E32:J32)</f>
        <v>0</v>
      </c>
    </row>
    <row r="33" spans="1:11" x14ac:dyDescent="0.25">
      <c r="A33" s="79"/>
      <c r="B33" s="69"/>
      <c r="C33" s="67"/>
      <c r="D33" s="20" t="s">
        <v>25</v>
      </c>
      <c r="E33" s="21">
        <v>0</v>
      </c>
      <c r="F33" s="21">
        <v>0</v>
      </c>
      <c r="G33" s="21">
        <v>0</v>
      </c>
      <c r="H33" s="21">
        <v>0</v>
      </c>
      <c r="I33" s="21">
        <v>0</v>
      </c>
      <c r="J33" s="21">
        <v>0</v>
      </c>
      <c r="K33" s="21">
        <f>SUM(E33:J33)</f>
        <v>0</v>
      </c>
    </row>
    <row r="34" spans="1:11" x14ac:dyDescent="0.25">
      <c r="A34" s="79"/>
      <c r="B34" s="69"/>
      <c r="C34" s="67"/>
      <c r="D34" s="20" t="s">
        <v>26</v>
      </c>
      <c r="E34" s="21">
        <v>5800</v>
      </c>
      <c r="F34" s="21">
        <v>5800</v>
      </c>
      <c r="G34" s="21">
        <f>F34*98.5%</f>
        <v>5713</v>
      </c>
      <c r="H34" s="21">
        <f>G34*102.7%</f>
        <v>5867.2510000000011</v>
      </c>
      <c r="I34" s="21">
        <f>H34*102.9%</f>
        <v>6037.4012790000015</v>
      </c>
      <c r="J34" s="21">
        <f>I34*102.2%</f>
        <v>6170.2241071380013</v>
      </c>
      <c r="K34" s="21">
        <f>SUM(E34:J34)</f>
        <v>35387.876386137999</v>
      </c>
    </row>
    <row r="35" spans="1:11" x14ac:dyDescent="0.25">
      <c r="A35" s="79"/>
      <c r="B35" s="69"/>
      <c r="C35" s="67"/>
      <c r="D35" s="20" t="s">
        <v>27</v>
      </c>
      <c r="E35" s="21">
        <v>0</v>
      </c>
      <c r="F35" s="21">
        <v>0</v>
      </c>
      <c r="G35" s="21">
        <v>0</v>
      </c>
      <c r="H35" s="21">
        <v>0</v>
      </c>
      <c r="I35" s="21">
        <v>0</v>
      </c>
      <c r="J35" s="21">
        <v>0</v>
      </c>
      <c r="K35" s="21">
        <f>SUM(E35:J35)</f>
        <v>0</v>
      </c>
    </row>
    <row r="36" spans="1:11" x14ac:dyDescent="0.25">
      <c r="A36" s="79" t="s">
        <v>39</v>
      </c>
      <c r="B36" s="69" t="s">
        <v>33</v>
      </c>
      <c r="C36" s="67" t="s">
        <v>23</v>
      </c>
      <c r="D36" s="20" t="s">
        <v>20</v>
      </c>
      <c r="E36" s="21">
        <f t="shared" ref="E36:J36" si="4">E39+E40</f>
        <v>2000</v>
      </c>
      <c r="F36" s="21">
        <f t="shared" si="4"/>
        <v>2000</v>
      </c>
      <c r="G36" s="21">
        <f t="shared" si="4"/>
        <v>1970</v>
      </c>
      <c r="H36" s="21">
        <f t="shared" si="4"/>
        <v>2023.1900000000003</v>
      </c>
      <c r="I36" s="21">
        <f t="shared" si="4"/>
        <v>2081.8625100000004</v>
      </c>
      <c r="J36" s="21">
        <f t="shared" si="4"/>
        <v>2127.6634852200004</v>
      </c>
      <c r="K36" s="21">
        <f>SUM(E36:J36)</f>
        <v>12202.715995220002</v>
      </c>
    </row>
    <row r="37" spans="1:11" x14ac:dyDescent="0.25">
      <c r="A37" s="79"/>
      <c r="B37" s="69"/>
      <c r="C37" s="67"/>
      <c r="D37" s="20" t="s">
        <v>24</v>
      </c>
      <c r="E37" s="21">
        <v>0</v>
      </c>
      <c r="F37" s="21">
        <v>0</v>
      </c>
      <c r="G37" s="21">
        <v>0</v>
      </c>
      <c r="H37" s="21">
        <v>0</v>
      </c>
      <c r="I37" s="21">
        <v>0</v>
      </c>
      <c r="J37" s="21">
        <v>0</v>
      </c>
      <c r="K37" s="21">
        <v>0</v>
      </c>
    </row>
    <row r="38" spans="1:11" x14ac:dyDescent="0.25">
      <c r="A38" s="79"/>
      <c r="B38" s="69"/>
      <c r="C38" s="67"/>
      <c r="D38" s="20" t="s">
        <v>25</v>
      </c>
      <c r="E38" s="21">
        <v>0</v>
      </c>
      <c r="F38" s="21">
        <v>0</v>
      </c>
      <c r="G38" s="21">
        <v>0</v>
      </c>
      <c r="H38" s="21">
        <v>0</v>
      </c>
      <c r="I38" s="21">
        <v>0</v>
      </c>
      <c r="J38" s="21">
        <v>0</v>
      </c>
      <c r="K38" s="21">
        <v>0</v>
      </c>
    </row>
    <row r="39" spans="1:11" x14ac:dyDescent="0.25">
      <c r="A39" s="79"/>
      <c r="B39" s="69"/>
      <c r="C39" s="67"/>
      <c r="D39" s="20" t="s">
        <v>26</v>
      </c>
      <c r="E39" s="21">
        <v>2000</v>
      </c>
      <c r="F39" s="21">
        <v>2000</v>
      </c>
      <c r="G39" s="21">
        <f>F39*98.5%</f>
        <v>1970</v>
      </c>
      <c r="H39" s="21">
        <f>G39*102.7%</f>
        <v>2023.1900000000003</v>
      </c>
      <c r="I39" s="21">
        <f>H39*102.9%</f>
        <v>2081.8625100000004</v>
      </c>
      <c r="J39" s="21">
        <f>I39*102.2%</f>
        <v>2127.6634852200004</v>
      </c>
      <c r="K39" s="21">
        <f>SUM(E39:J39)</f>
        <v>12202.715995220002</v>
      </c>
    </row>
    <row r="40" spans="1:11" x14ac:dyDescent="0.25">
      <c r="A40" s="79"/>
      <c r="B40" s="69"/>
      <c r="C40" s="67"/>
      <c r="D40" s="20" t="s">
        <v>27</v>
      </c>
      <c r="E40" s="21">
        <v>0</v>
      </c>
      <c r="F40" s="21">
        <v>0</v>
      </c>
      <c r="G40" s="21">
        <v>0</v>
      </c>
      <c r="H40" s="21">
        <v>0</v>
      </c>
      <c r="I40" s="21">
        <v>0</v>
      </c>
      <c r="J40" s="21">
        <v>0</v>
      </c>
      <c r="K40" s="21">
        <f>E40+F40+G40+H40+I40+J40</f>
        <v>0</v>
      </c>
    </row>
    <row r="41" spans="1:11" x14ac:dyDescent="0.25">
      <c r="A41" s="79" t="s">
        <v>40</v>
      </c>
      <c r="B41" s="69" t="s">
        <v>34</v>
      </c>
      <c r="C41" s="67" t="s">
        <v>23</v>
      </c>
      <c r="D41" s="20" t="s">
        <v>20</v>
      </c>
      <c r="E41" s="21">
        <f t="shared" ref="E41:J41" si="5">E42+E43+E44+E45</f>
        <v>31000</v>
      </c>
      <c r="F41" s="21">
        <f t="shared" si="5"/>
        <v>31000</v>
      </c>
      <c r="G41" s="21">
        <f t="shared" si="5"/>
        <v>3000</v>
      </c>
      <c r="H41" s="21">
        <f t="shared" si="5"/>
        <v>3081.0000000000005</v>
      </c>
      <c r="I41" s="21">
        <f t="shared" si="5"/>
        <v>3170.3490000000011</v>
      </c>
      <c r="J41" s="21">
        <f t="shared" si="5"/>
        <v>3240.0966780000012</v>
      </c>
      <c r="K41" s="21">
        <f>K42+K43+K44+K45</f>
        <v>74491.445678000004</v>
      </c>
    </row>
    <row r="42" spans="1:11" x14ac:dyDescent="0.25">
      <c r="A42" s="79"/>
      <c r="B42" s="69"/>
      <c r="C42" s="67"/>
      <c r="D42" s="20" t="s">
        <v>24</v>
      </c>
      <c r="E42" s="21">
        <v>0</v>
      </c>
      <c r="F42" s="21">
        <v>0</v>
      </c>
      <c r="G42" s="21">
        <v>0</v>
      </c>
      <c r="H42" s="21">
        <v>0</v>
      </c>
      <c r="I42" s="21">
        <v>0</v>
      </c>
      <c r="J42" s="21">
        <v>0</v>
      </c>
      <c r="K42" s="21">
        <f>SUM(E42:J42)</f>
        <v>0</v>
      </c>
    </row>
    <row r="43" spans="1:11" x14ac:dyDescent="0.25">
      <c r="A43" s="79"/>
      <c r="B43" s="69"/>
      <c r="C43" s="67"/>
      <c r="D43" s="20" t="s">
        <v>25</v>
      </c>
      <c r="E43" s="21">
        <v>0</v>
      </c>
      <c r="F43" s="21">
        <v>0</v>
      </c>
      <c r="G43" s="21">
        <v>0</v>
      </c>
      <c r="H43" s="21">
        <v>0</v>
      </c>
      <c r="I43" s="21">
        <v>0</v>
      </c>
      <c r="J43" s="21">
        <v>0</v>
      </c>
      <c r="K43" s="21">
        <f>SUM(E43:J43)</f>
        <v>0</v>
      </c>
    </row>
    <row r="44" spans="1:11" x14ac:dyDescent="0.25">
      <c r="A44" s="79"/>
      <c r="B44" s="69"/>
      <c r="C44" s="67"/>
      <c r="D44" s="20" t="s">
        <v>26</v>
      </c>
      <c r="E44" s="21">
        <v>31000</v>
      </c>
      <c r="F44" s="21">
        <v>31000</v>
      </c>
      <c r="G44" s="21">
        <v>3000</v>
      </c>
      <c r="H44" s="21">
        <f>G44*102.7%</f>
        <v>3081.0000000000005</v>
      </c>
      <c r="I44" s="21">
        <f>H44*102.9%</f>
        <v>3170.3490000000011</v>
      </c>
      <c r="J44" s="21">
        <f>I44*102.2%</f>
        <v>3240.0966780000012</v>
      </c>
      <c r="K44" s="21">
        <f>SUM(E44:J44)</f>
        <v>74491.445678000004</v>
      </c>
    </row>
    <row r="45" spans="1:11" x14ac:dyDescent="0.25">
      <c r="A45" s="79"/>
      <c r="B45" s="69"/>
      <c r="C45" s="67"/>
      <c r="D45" s="20" t="s">
        <v>27</v>
      </c>
      <c r="E45" s="21">
        <v>0</v>
      </c>
      <c r="F45" s="21">
        <v>0</v>
      </c>
      <c r="G45" s="21">
        <v>0</v>
      </c>
      <c r="H45" s="21">
        <v>0</v>
      </c>
      <c r="I45" s="21">
        <v>0</v>
      </c>
      <c r="J45" s="21">
        <v>0</v>
      </c>
      <c r="K45" s="21">
        <f>SUM(E45:J45)</f>
        <v>0</v>
      </c>
    </row>
    <row r="46" spans="1:11" x14ac:dyDescent="0.25">
      <c r="A46" s="79" t="s">
        <v>41</v>
      </c>
      <c r="B46" s="69" t="s">
        <v>35</v>
      </c>
      <c r="C46" s="67" t="s">
        <v>23</v>
      </c>
      <c r="D46" s="20" t="s">
        <v>20</v>
      </c>
      <c r="E46" s="21">
        <f t="shared" ref="E46:J46" si="6">E47+E48+E49+E50</f>
        <v>1800</v>
      </c>
      <c r="F46" s="21">
        <f t="shared" si="6"/>
        <v>1800</v>
      </c>
      <c r="G46" s="21">
        <f t="shared" si="6"/>
        <v>1800</v>
      </c>
      <c r="H46" s="21">
        <f t="shared" si="6"/>
        <v>1800</v>
      </c>
      <c r="I46" s="21">
        <f t="shared" si="6"/>
        <v>1800</v>
      </c>
      <c r="J46" s="21">
        <f t="shared" si="6"/>
        <v>1800</v>
      </c>
      <c r="K46" s="21">
        <f>K47+K48+K49+K50</f>
        <v>10800</v>
      </c>
    </row>
    <row r="47" spans="1:11" x14ac:dyDescent="0.25">
      <c r="A47" s="79"/>
      <c r="B47" s="69"/>
      <c r="C47" s="67"/>
      <c r="D47" s="20" t="s">
        <v>24</v>
      </c>
      <c r="E47" s="21">
        <v>0</v>
      </c>
      <c r="F47" s="21">
        <v>0</v>
      </c>
      <c r="G47" s="21">
        <v>0</v>
      </c>
      <c r="H47" s="21">
        <v>0</v>
      </c>
      <c r="I47" s="21">
        <v>0</v>
      </c>
      <c r="J47" s="21">
        <v>0</v>
      </c>
      <c r="K47" s="21">
        <f>SUM(E47:J47)</f>
        <v>0</v>
      </c>
    </row>
    <row r="48" spans="1:11" x14ac:dyDescent="0.25">
      <c r="A48" s="79"/>
      <c r="B48" s="69"/>
      <c r="C48" s="67"/>
      <c r="D48" s="20" t="s">
        <v>25</v>
      </c>
      <c r="E48" s="21">
        <v>0</v>
      </c>
      <c r="F48" s="21">
        <v>0</v>
      </c>
      <c r="G48" s="21">
        <v>0</v>
      </c>
      <c r="H48" s="21">
        <v>0</v>
      </c>
      <c r="I48" s="21">
        <v>0</v>
      </c>
      <c r="J48" s="21">
        <v>0</v>
      </c>
      <c r="K48" s="21">
        <f>SUM(E48:J48)</f>
        <v>0</v>
      </c>
    </row>
    <row r="49" spans="1:11" x14ac:dyDescent="0.25">
      <c r="A49" s="79"/>
      <c r="B49" s="69"/>
      <c r="C49" s="67"/>
      <c r="D49" s="20" t="s">
        <v>26</v>
      </c>
      <c r="E49" s="21">
        <v>1800</v>
      </c>
      <c r="F49" s="21">
        <v>1800</v>
      </c>
      <c r="G49" s="21">
        <v>1800</v>
      </c>
      <c r="H49" s="21">
        <v>1800</v>
      </c>
      <c r="I49" s="21">
        <v>1800</v>
      </c>
      <c r="J49" s="21">
        <v>1800</v>
      </c>
      <c r="K49" s="21">
        <f>SUM(E49:J49)</f>
        <v>10800</v>
      </c>
    </row>
    <row r="50" spans="1:11" x14ac:dyDescent="0.25">
      <c r="A50" s="79"/>
      <c r="B50" s="69"/>
      <c r="C50" s="67"/>
      <c r="D50" s="20" t="s">
        <v>27</v>
      </c>
      <c r="E50" s="21">
        <v>0</v>
      </c>
      <c r="F50" s="21">
        <v>0</v>
      </c>
      <c r="G50" s="21">
        <v>0</v>
      </c>
      <c r="H50" s="21">
        <v>0</v>
      </c>
      <c r="I50" s="21">
        <v>0</v>
      </c>
      <c r="J50" s="21">
        <v>0</v>
      </c>
      <c r="K50" s="21">
        <f>SUM(E50:J50)</f>
        <v>0</v>
      </c>
    </row>
    <row r="51" spans="1:11" x14ac:dyDescent="0.25">
      <c r="A51" s="79" t="s">
        <v>42</v>
      </c>
      <c r="B51" s="80" t="s">
        <v>36</v>
      </c>
      <c r="C51" s="67" t="s">
        <v>23</v>
      </c>
      <c r="D51" s="20" t="s">
        <v>20</v>
      </c>
      <c r="E51" s="21">
        <f t="shared" ref="E51:J51" si="7">E52+E53+E54+E55</f>
        <v>61607.100000000006</v>
      </c>
      <c r="F51" s="21">
        <f t="shared" si="7"/>
        <v>62166</v>
      </c>
      <c r="G51" s="21">
        <f t="shared" si="7"/>
        <v>67180.774900000004</v>
      </c>
      <c r="H51" s="21">
        <f t="shared" si="7"/>
        <v>69180.29312110001</v>
      </c>
      <c r="I51" s="21">
        <f t="shared" si="7"/>
        <v>71347.252582822926</v>
      </c>
      <c r="J51" s="21">
        <f t="shared" si="7"/>
        <v>73200.791236432022</v>
      </c>
      <c r="K51" s="21">
        <f>K52+K53+K54+K55</f>
        <v>404682.21184035495</v>
      </c>
    </row>
    <row r="52" spans="1:11" x14ac:dyDescent="0.25">
      <c r="A52" s="79"/>
      <c r="B52" s="81"/>
      <c r="C52" s="67"/>
      <c r="D52" s="20" t="s">
        <v>24</v>
      </c>
      <c r="E52" s="21">
        <v>0</v>
      </c>
      <c r="F52" s="21">
        <v>0</v>
      </c>
      <c r="G52" s="21">
        <v>0</v>
      </c>
      <c r="H52" s="21">
        <v>0</v>
      </c>
      <c r="I52" s="21">
        <v>0</v>
      </c>
      <c r="J52" s="21">
        <v>0</v>
      </c>
      <c r="K52" s="21">
        <f>SUM(E52:J52)</f>
        <v>0</v>
      </c>
    </row>
    <row r="53" spans="1:11" x14ac:dyDescent="0.25">
      <c r="A53" s="79"/>
      <c r="B53" s="81"/>
      <c r="C53" s="67"/>
      <c r="D53" s="20" t="s">
        <v>25</v>
      </c>
      <c r="E53" s="21">
        <v>2941.4</v>
      </c>
      <c r="F53" s="21">
        <v>2941.4</v>
      </c>
      <c r="G53" s="21">
        <v>0</v>
      </c>
      <c r="H53" s="21">
        <v>0</v>
      </c>
      <c r="I53" s="21">
        <v>0</v>
      </c>
      <c r="J53" s="21">
        <f>I53</f>
        <v>0</v>
      </c>
      <c r="K53" s="21">
        <f>SUM(E53:J53)</f>
        <v>5882.8</v>
      </c>
    </row>
    <row r="54" spans="1:11" x14ac:dyDescent="0.25">
      <c r="A54" s="79"/>
      <c r="B54" s="81"/>
      <c r="C54" s="67"/>
      <c r="D54" s="20" t="s">
        <v>26</v>
      </c>
      <c r="E54" s="21">
        <v>44335.5</v>
      </c>
      <c r="F54" s="21">
        <v>44335.5</v>
      </c>
      <c r="G54" s="21">
        <v>51711</v>
      </c>
      <c r="H54" s="21">
        <f>G54*102.7%</f>
        <v>53107.197000000007</v>
      </c>
      <c r="I54" s="21">
        <f>H54*102.9%</f>
        <v>54647.305713000016</v>
      </c>
      <c r="J54" s="21">
        <f>I54*102.2%</f>
        <v>55849.546438686019</v>
      </c>
      <c r="K54" s="21">
        <f>SUM(E54:J54)</f>
        <v>303986.04915168602</v>
      </c>
    </row>
    <row r="55" spans="1:11" x14ac:dyDescent="0.25">
      <c r="A55" s="79"/>
      <c r="B55" s="82"/>
      <c r="C55" s="67"/>
      <c r="D55" s="20" t="s">
        <v>27</v>
      </c>
      <c r="E55" s="21">
        <v>14330.2</v>
      </c>
      <c r="F55" s="21">
        <v>14889.1</v>
      </c>
      <c r="G55" s="21">
        <f>F55*103.9%</f>
        <v>15469.774900000002</v>
      </c>
      <c r="H55" s="21">
        <f>G55*103.9%</f>
        <v>16073.096121100005</v>
      </c>
      <c r="I55" s="21">
        <f>H55*103.9%</f>
        <v>16699.946869822907</v>
      </c>
      <c r="J55" s="21">
        <f>I55*103.9%</f>
        <v>17351.244797746003</v>
      </c>
      <c r="K55" s="21">
        <f>SUM(E55:J55)</f>
        <v>94813.362688668916</v>
      </c>
    </row>
    <row r="56" spans="1:11" x14ac:dyDescent="0.25">
      <c r="A56" s="67"/>
      <c r="B56" s="67"/>
      <c r="C56" s="67" t="s">
        <v>37</v>
      </c>
      <c r="D56" s="24" t="s">
        <v>20</v>
      </c>
      <c r="E56" s="21">
        <f t="shared" ref="E56:J60" si="8">E16+E21+E26+E31+E36+E41+E46+E51</f>
        <v>210629.2</v>
      </c>
      <c r="F56" s="21">
        <f t="shared" si="8"/>
        <v>213283.3</v>
      </c>
      <c r="G56" s="21">
        <f t="shared" si="8"/>
        <v>190024.58920000002</v>
      </c>
      <c r="H56" s="21">
        <f t="shared" si="8"/>
        <v>195333.28147600003</v>
      </c>
      <c r="I56" s="21">
        <f t="shared" si="8"/>
        <v>200984.27502232866</v>
      </c>
      <c r="J56" s="21">
        <f t="shared" si="8"/>
        <v>206117.2175448357</v>
      </c>
      <c r="K56" s="21">
        <f t="shared" ref="K56:K60" si="9">SUM(E56:J56)</f>
        <v>1216371.8632431645</v>
      </c>
    </row>
    <row r="57" spans="1:11" x14ac:dyDescent="0.25">
      <c r="A57" s="67"/>
      <c r="B57" s="67"/>
      <c r="C57" s="67"/>
      <c r="D57" s="24" t="s">
        <v>24</v>
      </c>
      <c r="E57" s="21">
        <f t="shared" si="8"/>
        <v>0</v>
      </c>
      <c r="F57" s="21">
        <f t="shared" si="8"/>
        <v>0</v>
      </c>
      <c r="G57" s="21">
        <f t="shared" si="8"/>
        <v>0</v>
      </c>
      <c r="H57" s="21">
        <f t="shared" si="8"/>
        <v>0</v>
      </c>
      <c r="I57" s="21">
        <f t="shared" si="8"/>
        <v>0</v>
      </c>
      <c r="J57" s="21">
        <f t="shared" si="8"/>
        <v>0</v>
      </c>
      <c r="K57" s="21">
        <f t="shared" si="9"/>
        <v>0</v>
      </c>
    </row>
    <row r="58" spans="1:11" x14ac:dyDescent="0.25">
      <c r="A58" s="67"/>
      <c r="B58" s="67"/>
      <c r="C58" s="67"/>
      <c r="D58" s="24" t="s">
        <v>25</v>
      </c>
      <c r="E58" s="21">
        <f t="shared" si="8"/>
        <v>4782.6000000000004</v>
      </c>
      <c r="F58" s="21">
        <f t="shared" si="8"/>
        <v>4782.6000000000004</v>
      </c>
      <c r="G58" s="21">
        <f t="shared" si="8"/>
        <v>0</v>
      </c>
      <c r="H58" s="21">
        <f t="shared" si="8"/>
        <v>0</v>
      </c>
      <c r="I58" s="21">
        <f t="shared" si="8"/>
        <v>0</v>
      </c>
      <c r="J58" s="21">
        <f t="shared" si="8"/>
        <v>0</v>
      </c>
      <c r="K58" s="21">
        <f t="shared" si="9"/>
        <v>9565.2000000000007</v>
      </c>
    </row>
    <row r="59" spans="1:11" x14ac:dyDescent="0.25">
      <c r="A59" s="67"/>
      <c r="B59" s="67"/>
      <c r="C59" s="67"/>
      <c r="D59" s="24" t="s">
        <v>26</v>
      </c>
      <c r="E59" s="21">
        <f t="shared" si="8"/>
        <v>115629</v>
      </c>
      <c r="F59" s="21">
        <f t="shared" si="8"/>
        <v>115629</v>
      </c>
      <c r="G59" s="21">
        <f t="shared" si="8"/>
        <v>94427.097500000003</v>
      </c>
      <c r="H59" s="21">
        <f t="shared" si="8"/>
        <v>96928.029132500014</v>
      </c>
      <c r="I59" s="21">
        <f t="shared" si="8"/>
        <v>99686.741977342521</v>
      </c>
      <c r="J59" s="21">
        <f t="shared" si="8"/>
        <v>101840.25030084407</v>
      </c>
      <c r="K59" s="21">
        <f t="shared" si="9"/>
        <v>624140.11891068658</v>
      </c>
    </row>
    <row r="60" spans="1:11" x14ac:dyDescent="0.25">
      <c r="A60" s="67"/>
      <c r="B60" s="67"/>
      <c r="C60" s="67"/>
      <c r="D60" s="24" t="s">
        <v>27</v>
      </c>
      <c r="E60" s="21">
        <f t="shared" si="8"/>
        <v>90217.599999999991</v>
      </c>
      <c r="F60" s="21">
        <f t="shared" si="8"/>
        <v>92871.700000000012</v>
      </c>
      <c r="G60" s="21">
        <f t="shared" si="8"/>
        <v>95597.491700000013</v>
      </c>
      <c r="H60" s="21">
        <f t="shared" si="8"/>
        <v>98405.252343500018</v>
      </c>
      <c r="I60" s="21">
        <f t="shared" si="8"/>
        <v>101297.53304498614</v>
      </c>
      <c r="J60" s="21">
        <f t="shared" si="8"/>
        <v>104276.96724399168</v>
      </c>
      <c r="K60" s="21">
        <f t="shared" si="9"/>
        <v>582666.54433247785</v>
      </c>
    </row>
    <row r="63" spans="1:11" x14ac:dyDescent="0.25">
      <c r="G63" s="23">
        <f>F5-G59</f>
        <v>24178.328500000003</v>
      </c>
      <c r="H63" s="23">
        <f>G5-H59</f>
        <v>24879.743369499978</v>
      </c>
      <c r="I63" s="23">
        <f>H5-I59</f>
        <v>25653.455927215458</v>
      </c>
      <c r="J63" s="23">
        <f>I5-J59</f>
        <v>26257.431957614186</v>
      </c>
    </row>
  </sheetData>
  <mergeCells count="34">
    <mergeCell ref="A56:B60"/>
    <mergeCell ref="C56:C60"/>
    <mergeCell ref="A46:A50"/>
    <mergeCell ref="B46:B50"/>
    <mergeCell ref="C46:C50"/>
    <mergeCell ref="A51:A55"/>
    <mergeCell ref="B51:B55"/>
    <mergeCell ref="C51:C55"/>
    <mergeCell ref="A36:A40"/>
    <mergeCell ref="B36:B40"/>
    <mergeCell ref="C36:C40"/>
    <mergeCell ref="A41:A45"/>
    <mergeCell ref="B41:B45"/>
    <mergeCell ref="C41:C45"/>
    <mergeCell ref="A26:A30"/>
    <mergeCell ref="B26:B30"/>
    <mergeCell ref="C26:C30"/>
    <mergeCell ref="A31:A35"/>
    <mergeCell ref="B31:B35"/>
    <mergeCell ref="C31:C35"/>
    <mergeCell ref="A16:A20"/>
    <mergeCell ref="B16:B20"/>
    <mergeCell ref="C16:C20"/>
    <mergeCell ref="A21:A25"/>
    <mergeCell ref="B21:B25"/>
    <mergeCell ref="C21:C25"/>
    <mergeCell ref="A1:I1"/>
    <mergeCell ref="A9:K9"/>
    <mergeCell ref="A10:K10"/>
    <mergeCell ref="A12:A14"/>
    <mergeCell ref="B12:B14"/>
    <mergeCell ref="C12:C14"/>
    <mergeCell ref="D12:D14"/>
    <mergeCell ref="E12:K13"/>
  </mergeCells>
  <pageMargins left="0.51181102362204722" right="0.31496062992125984" top="0.55118110236220474" bottom="0.19685039370078741" header="0" footer="0"/>
  <pageSetup paperSize="8" scale="5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3"/>
  <sheetViews>
    <sheetView topLeftCell="A4" workbookViewId="0">
      <pane xSplit="4" ySplit="12" topLeftCell="E16" activePane="bottomRight" state="frozen"/>
      <selection activeCell="A4" sqref="A4"/>
      <selection pane="topRight" activeCell="E4" sqref="E4"/>
      <selection pane="bottomLeft" activeCell="A16" sqref="A16"/>
      <selection pane="bottomRight" activeCell="E58" sqref="E58:E59"/>
    </sheetView>
  </sheetViews>
  <sheetFormatPr defaultRowHeight="15" x14ac:dyDescent="0.25"/>
  <cols>
    <col min="1" max="1" width="7.140625" customWidth="1"/>
    <col min="2" max="2" width="56" customWidth="1"/>
    <col min="3" max="3" width="14.7109375" customWidth="1"/>
    <col min="4" max="5" width="13.7109375" customWidth="1"/>
    <col min="6" max="6" width="14.140625" customWidth="1"/>
    <col min="7" max="7" width="14.85546875" customWidth="1"/>
    <col min="8" max="8" width="12.85546875" customWidth="1"/>
    <col min="9" max="9" width="13.7109375" customWidth="1"/>
    <col min="10" max="10" width="14.140625" customWidth="1"/>
    <col min="11" max="11" width="11.5703125" bestFit="1" customWidth="1"/>
    <col min="12" max="12" width="13.28515625" customWidth="1"/>
  </cols>
  <sheetData>
    <row r="1" spans="1:12" ht="51" customHeight="1" x14ac:dyDescent="0.25">
      <c r="A1" s="65" t="s">
        <v>12</v>
      </c>
      <c r="B1" s="65"/>
      <c r="C1" s="65"/>
      <c r="D1" s="65"/>
      <c r="E1" s="65"/>
      <c r="F1" s="65"/>
      <c r="G1" s="65"/>
      <c r="H1" s="65"/>
      <c r="I1" s="65"/>
      <c r="J1" s="65"/>
    </row>
    <row r="2" spans="1:12" ht="21" customHeight="1" x14ac:dyDescent="0.25">
      <c r="A2" t="s">
        <v>13</v>
      </c>
      <c r="B2" s="7"/>
      <c r="C2" s="7"/>
      <c r="D2" s="7"/>
      <c r="E2" s="7"/>
      <c r="F2" s="7"/>
      <c r="G2" s="7"/>
      <c r="H2" s="7"/>
      <c r="I2" s="7"/>
      <c r="J2" s="7"/>
    </row>
    <row r="3" spans="1:12" ht="94.5" customHeight="1" x14ac:dyDescent="0.25">
      <c r="A3" s="9" t="s">
        <v>7</v>
      </c>
      <c r="B3" s="8" t="s">
        <v>9</v>
      </c>
      <c r="C3" s="8" t="s">
        <v>2</v>
      </c>
      <c r="D3" s="8" t="s">
        <v>1</v>
      </c>
      <c r="E3" s="8"/>
      <c r="F3" s="8" t="s">
        <v>0</v>
      </c>
      <c r="G3" s="8" t="s">
        <v>3</v>
      </c>
      <c r="H3" s="8" t="s">
        <v>4</v>
      </c>
      <c r="I3" s="8" t="s">
        <v>5</v>
      </c>
      <c r="J3" s="8" t="s">
        <v>6</v>
      </c>
    </row>
    <row r="4" spans="1:12" ht="18" customHeight="1" x14ac:dyDescent="0.25">
      <c r="A4" s="9">
        <v>1</v>
      </c>
      <c r="B4" s="1">
        <v>2</v>
      </c>
      <c r="C4" s="1">
        <v>5</v>
      </c>
      <c r="D4" s="1">
        <v>6</v>
      </c>
      <c r="E4" s="1"/>
      <c r="F4" s="1">
        <v>7</v>
      </c>
      <c r="G4" s="6">
        <v>8</v>
      </c>
      <c r="H4" s="6">
        <v>9</v>
      </c>
      <c r="I4" s="6">
        <v>10</v>
      </c>
      <c r="J4" s="6">
        <v>11</v>
      </c>
    </row>
    <row r="5" spans="1:12" ht="31.5" x14ac:dyDescent="0.25">
      <c r="A5" s="10" t="s">
        <v>8</v>
      </c>
      <c r="B5" s="2" t="s">
        <v>11</v>
      </c>
      <c r="C5" s="3">
        <v>115211.6</v>
      </c>
      <c r="D5" s="3">
        <v>120411.6</v>
      </c>
      <c r="E5" s="3"/>
      <c r="F5" s="3">
        <v>120411.6</v>
      </c>
      <c r="G5" s="3">
        <f>F5*G6</f>
        <v>118605.42600000001</v>
      </c>
      <c r="H5" s="3">
        <f>G5*H6</f>
        <v>121807.77250199999</v>
      </c>
      <c r="I5" s="3">
        <f>H5*I6</f>
        <v>125340.19790455798</v>
      </c>
      <c r="J5" s="3">
        <f>I5*J6</f>
        <v>128097.68225845826</v>
      </c>
    </row>
    <row r="6" spans="1:12" s="12" customFormat="1" ht="15.75" x14ac:dyDescent="0.25">
      <c r="A6" s="11"/>
      <c r="B6" s="14" t="s">
        <v>10</v>
      </c>
      <c r="C6" s="15"/>
      <c r="D6" s="15"/>
      <c r="E6" s="15"/>
      <c r="F6" s="15"/>
      <c r="G6" s="16">
        <v>0.98499999999999999</v>
      </c>
      <c r="H6" s="16">
        <v>1.0269999999999999</v>
      </c>
      <c r="I6" s="16">
        <v>1.0289999999999999</v>
      </c>
      <c r="J6" s="16">
        <v>1.022</v>
      </c>
    </row>
    <row r="7" spans="1:12" x14ac:dyDescent="0.25">
      <c r="B7" s="4"/>
      <c r="C7" s="4"/>
      <c r="D7" s="4">
        <f>D5+30000</f>
        <v>150411.6</v>
      </c>
      <c r="E7" s="4"/>
      <c r="F7" s="4"/>
      <c r="G7" s="4"/>
      <c r="H7" s="4"/>
      <c r="I7" s="4"/>
      <c r="J7" s="4"/>
      <c r="K7" s="23">
        <f>D7+F5+G5+H5+I5+J5</f>
        <v>764674.27866501629</v>
      </c>
    </row>
    <row r="8" spans="1:12" x14ac:dyDescent="0.25">
      <c r="B8" s="5"/>
      <c r="C8" s="13"/>
      <c r="D8" s="13"/>
      <c r="E8" s="13"/>
      <c r="F8" s="13"/>
      <c r="G8" s="13"/>
      <c r="H8" s="13"/>
      <c r="I8" s="13"/>
      <c r="J8" s="13"/>
      <c r="K8">
        <v>582000</v>
      </c>
      <c r="L8" s="23">
        <f>K7+K8</f>
        <v>1346674.2786650164</v>
      </c>
    </row>
    <row r="9" spans="1:12" x14ac:dyDescent="0.25">
      <c r="A9" s="66" t="s">
        <v>14</v>
      </c>
      <c r="B9" s="66"/>
      <c r="C9" s="66"/>
      <c r="D9" s="66"/>
      <c r="E9" s="66"/>
      <c r="F9" s="66"/>
      <c r="G9" s="66"/>
      <c r="H9" s="66"/>
      <c r="I9" s="66"/>
      <c r="J9" s="66"/>
      <c r="K9" s="66"/>
      <c r="L9" s="66"/>
    </row>
    <row r="10" spans="1:12" x14ac:dyDescent="0.25">
      <c r="A10" s="66" t="s">
        <v>15</v>
      </c>
      <c r="B10" s="66"/>
      <c r="C10" s="66"/>
      <c r="D10" s="66"/>
      <c r="E10" s="66"/>
      <c r="F10" s="66"/>
      <c r="G10" s="66"/>
      <c r="H10" s="66"/>
      <c r="I10" s="66"/>
      <c r="J10" s="66"/>
      <c r="K10" s="66"/>
      <c r="L10" s="66"/>
    </row>
    <row r="11" spans="1:12" x14ac:dyDescent="0.25">
      <c r="A11" s="17" t="s">
        <v>44</v>
      </c>
      <c r="B11" s="18"/>
      <c r="C11" s="18"/>
      <c r="D11" s="18"/>
      <c r="E11" s="18"/>
      <c r="F11" s="18"/>
      <c r="G11" s="18"/>
      <c r="H11" s="28">
        <v>98.5</v>
      </c>
      <c r="I11" s="22">
        <v>102.7</v>
      </c>
      <c r="J11" s="22">
        <v>102.9</v>
      </c>
      <c r="K11" s="22">
        <v>102.2</v>
      </c>
      <c r="L11" s="18"/>
    </row>
    <row r="12" spans="1:12" ht="15" customHeight="1" x14ac:dyDescent="0.25">
      <c r="A12" s="67" t="s">
        <v>7</v>
      </c>
      <c r="B12" s="67" t="s">
        <v>16</v>
      </c>
      <c r="C12" s="67" t="s">
        <v>17</v>
      </c>
      <c r="D12" s="67" t="s">
        <v>18</v>
      </c>
      <c r="E12" s="83" t="s">
        <v>19</v>
      </c>
      <c r="F12" s="84"/>
      <c r="G12" s="84"/>
      <c r="H12" s="84"/>
      <c r="I12" s="84"/>
      <c r="J12" s="84"/>
      <c r="K12" s="84"/>
      <c r="L12" s="85"/>
    </row>
    <row r="13" spans="1:12" ht="14.25" customHeight="1" x14ac:dyDescent="0.25">
      <c r="A13" s="67"/>
      <c r="B13" s="67"/>
      <c r="C13" s="67"/>
      <c r="D13" s="67"/>
      <c r="E13" s="86"/>
      <c r="F13" s="87"/>
      <c r="G13" s="87"/>
      <c r="H13" s="87"/>
      <c r="I13" s="87"/>
      <c r="J13" s="87"/>
      <c r="K13" s="87"/>
      <c r="L13" s="88"/>
    </row>
    <row r="14" spans="1:12" ht="46.5" customHeight="1" x14ac:dyDescent="0.25">
      <c r="A14" s="67"/>
      <c r="B14" s="67"/>
      <c r="C14" s="67"/>
      <c r="D14" s="67"/>
      <c r="E14" s="27" t="s">
        <v>45</v>
      </c>
      <c r="F14" s="27" t="s">
        <v>46</v>
      </c>
      <c r="G14" s="25" t="s">
        <v>0</v>
      </c>
      <c r="H14" s="20" t="s">
        <v>3</v>
      </c>
      <c r="I14" s="25" t="s">
        <v>4</v>
      </c>
      <c r="J14" s="25" t="s">
        <v>5</v>
      </c>
      <c r="K14" s="25" t="s">
        <v>6</v>
      </c>
      <c r="L14" s="25" t="s">
        <v>20</v>
      </c>
    </row>
    <row r="15" spans="1:12" ht="12" customHeight="1" x14ac:dyDescent="0.25">
      <c r="A15" s="26">
        <v>1</v>
      </c>
      <c r="B15" s="26">
        <v>2</v>
      </c>
      <c r="C15" s="26">
        <v>3</v>
      </c>
      <c r="D15" s="26">
        <v>4</v>
      </c>
      <c r="E15" s="26"/>
      <c r="F15" s="26">
        <v>5</v>
      </c>
      <c r="G15" s="26">
        <v>6</v>
      </c>
      <c r="H15" s="26">
        <v>7</v>
      </c>
      <c r="I15" s="26">
        <v>8</v>
      </c>
      <c r="J15" s="26">
        <v>9</v>
      </c>
      <c r="K15" s="26">
        <v>10</v>
      </c>
      <c r="L15" s="26">
        <v>11</v>
      </c>
    </row>
    <row r="16" spans="1:12" x14ac:dyDescent="0.25">
      <c r="A16" s="70" t="s">
        <v>21</v>
      </c>
      <c r="B16" s="71" t="s">
        <v>22</v>
      </c>
      <c r="C16" s="67" t="s">
        <v>23</v>
      </c>
      <c r="D16" s="25" t="s">
        <v>20</v>
      </c>
      <c r="E16" s="21">
        <f t="shared" ref="E16" si="0">SUM(E17:E20)</f>
        <v>9756.6</v>
      </c>
      <c r="F16" s="21">
        <f t="shared" ref="F16:K16" si="1">SUM(F17:F20)</f>
        <v>15530.74</v>
      </c>
      <c r="G16" s="21">
        <f t="shared" si="1"/>
        <v>15620.94</v>
      </c>
      <c r="H16" s="21">
        <f t="shared" si="1"/>
        <v>14210.592199999999</v>
      </c>
      <c r="I16" s="21">
        <f t="shared" si="1"/>
        <v>14631.619258199999</v>
      </c>
      <c r="J16" s="21">
        <f t="shared" si="1"/>
        <v>15090.0146096014</v>
      </c>
      <c r="K16" s="21">
        <f t="shared" si="1"/>
        <v>15475.310576725959</v>
      </c>
      <c r="L16" s="21">
        <f>L17+L18+L19+L20</f>
        <v>90559.216644527347</v>
      </c>
    </row>
    <row r="17" spans="1:12" x14ac:dyDescent="0.25">
      <c r="A17" s="70"/>
      <c r="B17" s="71"/>
      <c r="C17" s="67"/>
      <c r="D17" s="25" t="s">
        <v>24</v>
      </c>
      <c r="E17" s="21">
        <v>0</v>
      </c>
      <c r="F17" s="21">
        <v>0</v>
      </c>
      <c r="G17" s="21">
        <v>0</v>
      </c>
      <c r="H17" s="21">
        <v>0</v>
      </c>
      <c r="I17" s="21">
        <v>0</v>
      </c>
      <c r="J17" s="21">
        <v>0</v>
      </c>
      <c r="K17" s="21">
        <v>0</v>
      </c>
      <c r="L17" s="21">
        <f>SUM(F17:K17)</f>
        <v>0</v>
      </c>
    </row>
    <row r="18" spans="1:12" x14ac:dyDescent="0.25">
      <c r="A18" s="70"/>
      <c r="B18" s="71"/>
      <c r="C18" s="67"/>
      <c r="D18" s="25" t="s">
        <v>25</v>
      </c>
      <c r="E18" s="21">
        <v>1325.7</v>
      </c>
      <c r="F18" s="21">
        <v>1325.7</v>
      </c>
      <c r="G18" s="21">
        <v>1325.7</v>
      </c>
      <c r="H18" s="21">
        <v>0</v>
      </c>
      <c r="I18" s="21">
        <v>0</v>
      </c>
      <c r="J18" s="21">
        <v>0</v>
      </c>
      <c r="K18" s="21">
        <v>0</v>
      </c>
      <c r="L18" s="21">
        <f>SUM(F18:K18)</f>
        <v>2651.4</v>
      </c>
    </row>
    <row r="19" spans="1:12" x14ac:dyDescent="0.25">
      <c r="A19" s="70"/>
      <c r="B19" s="71"/>
      <c r="C19" s="67"/>
      <c r="D19" s="25" t="s">
        <v>26</v>
      </c>
      <c r="E19" s="21">
        <v>6283.5</v>
      </c>
      <c r="F19" s="21">
        <v>12057.64</v>
      </c>
      <c r="G19" s="21">
        <v>12057.64</v>
      </c>
      <c r="H19" s="21">
        <f>G19*98.5%</f>
        <v>11876.775399999999</v>
      </c>
      <c r="I19" s="21">
        <f>H19*102.7%</f>
        <v>12197.4483358</v>
      </c>
      <c r="J19" s="21">
        <f>I19*102.9%</f>
        <v>12551.174337538201</v>
      </c>
      <c r="K19" s="21">
        <f>J19*102.2%</f>
        <v>12827.300172964042</v>
      </c>
      <c r="L19" s="21">
        <f>SUM(F19:K19)</f>
        <v>73567.978246302242</v>
      </c>
    </row>
    <row r="20" spans="1:12" x14ac:dyDescent="0.25">
      <c r="A20" s="70"/>
      <c r="B20" s="71"/>
      <c r="C20" s="67"/>
      <c r="D20" s="25" t="s">
        <v>27</v>
      </c>
      <c r="E20" s="21">
        <v>2147.4</v>
      </c>
      <c r="F20" s="21">
        <v>2147.4</v>
      </c>
      <c r="G20" s="21">
        <v>2237.6</v>
      </c>
      <c r="H20" s="21">
        <f>G20*104.3%</f>
        <v>2333.8167999999996</v>
      </c>
      <c r="I20" s="21">
        <f>H20*104.3%</f>
        <v>2434.1709223999992</v>
      </c>
      <c r="J20" s="21">
        <f>I20*104.3%</f>
        <v>2538.8402720631989</v>
      </c>
      <c r="K20" s="21">
        <f>J20*104.3%</f>
        <v>2648.0104037619162</v>
      </c>
      <c r="L20" s="21">
        <f>SUM(F20:K20)</f>
        <v>14339.838398225114</v>
      </c>
    </row>
    <row r="21" spans="1:12" x14ac:dyDescent="0.25">
      <c r="A21" s="72" t="s">
        <v>28</v>
      </c>
      <c r="B21" s="74" t="s">
        <v>29</v>
      </c>
      <c r="C21" s="76" t="s">
        <v>23</v>
      </c>
      <c r="D21" s="25" t="s">
        <v>20</v>
      </c>
      <c r="E21" s="21">
        <f t="shared" ref="E21" si="2">SUM(E22:E25)</f>
        <v>95876.34</v>
      </c>
      <c r="F21" s="21">
        <f t="shared" ref="F21:K21" si="3">SUM(F22:F25)</f>
        <v>116704.45999999999</v>
      </c>
      <c r="G21" s="21">
        <f t="shared" si="3"/>
        <v>118704.45999999999</v>
      </c>
      <c r="H21" s="21">
        <f t="shared" si="3"/>
        <v>120103.29310000001</v>
      </c>
      <c r="I21" s="21">
        <f t="shared" si="3"/>
        <v>123346.08201370001</v>
      </c>
      <c r="J21" s="21">
        <f t="shared" si="3"/>
        <v>126763.43242149735</v>
      </c>
      <c r="K21" s="21">
        <f t="shared" si="3"/>
        <v>129962.22166428581</v>
      </c>
      <c r="L21" s="21">
        <f>L22+L23+L24+L25</f>
        <v>735583.94919948326</v>
      </c>
    </row>
    <row r="22" spans="1:12" x14ac:dyDescent="0.25">
      <c r="A22" s="73"/>
      <c r="B22" s="75"/>
      <c r="C22" s="77"/>
      <c r="D22" s="25" t="s">
        <v>24</v>
      </c>
      <c r="E22" s="21">
        <v>0</v>
      </c>
      <c r="F22" s="21">
        <v>0</v>
      </c>
      <c r="G22" s="21">
        <v>0</v>
      </c>
      <c r="H22" s="21">
        <v>0</v>
      </c>
      <c r="I22" s="21">
        <v>0</v>
      </c>
      <c r="J22" s="21">
        <v>0</v>
      </c>
      <c r="K22" s="21">
        <v>0</v>
      </c>
      <c r="L22" s="21">
        <f>SUM(F22:K22)</f>
        <v>0</v>
      </c>
    </row>
    <row r="23" spans="1:12" x14ac:dyDescent="0.25">
      <c r="A23" s="73"/>
      <c r="B23" s="75"/>
      <c r="C23" s="77"/>
      <c r="D23" s="25" t="s">
        <v>25</v>
      </c>
      <c r="E23" s="21">
        <v>0</v>
      </c>
      <c r="F23" s="21">
        <v>0</v>
      </c>
      <c r="G23" s="21">
        <v>0</v>
      </c>
      <c r="H23" s="21">
        <v>0</v>
      </c>
      <c r="I23" s="21">
        <v>0</v>
      </c>
      <c r="J23" s="21">
        <v>0</v>
      </c>
      <c r="K23" s="21">
        <v>0</v>
      </c>
      <c r="L23" s="21">
        <f>SUM(F23:K23)</f>
        <v>0</v>
      </c>
    </row>
    <row r="24" spans="1:12" x14ac:dyDescent="0.25">
      <c r="A24" s="73"/>
      <c r="B24" s="75"/>
      <c r="C24" s="77"/>
      <c r="D24" s="25" t="s">
        <v>26</v>
      </c>
      <c r="E24" s="21">
        <v>22176.34</v>
      </c>
      <c r="F24" s="21">
        <v>43004.46</v>
      </c>
      <c r="G24" s="21">
        <v>43004.46</v>
      </c>
      <c r="H24" s="21">
        <f>G24*98.5%</f>
        <v>42359.393100000001</v>
      </c>
      <c r="I24" s="21">
        <f>H24*102.7%</f>
        <v>43503.096713700004</v>
      </c>
      <c r="J24" s="21">
        <f>I24*102.9%</f>
        <v>44764.686518397313</v>
      </c>
      <c r="K24" s="21">
        <f>J24*102.2%</f>
        <v>45749.509621802055</v>
      </c>
      <c r="L24" s="21">
        <f>SUM(F24:K24)</f>
        <v>262385.60595389939</v>
      </c>
    </row>
    <row r="25" spans="1:12" x14ac:dyDescent="0.25">
      <c r="A25" s="73"/>
      <c r="B25" s="75"/>
      <c r="C25" s="78"/>
      <c r="D25" s="25" t="s">
        <v>27</v>
      </c>
      <c r="E25" s="21">
        <v>73700</v>
      </c>
      <c r="F25" s="21">
        <v>73700</v>
      </c>
      <c r="G25" s="21">
        <v>75700</v>
      </c>
      <c r="H25" s="21">
        <f>G25*102.7%</f>
        <v>77743.900000000009</v>
      </c>
      <c r="I25" s="21">
        <f>H25*102.7%</f>
        <v>79842.985300000015</v>
      </c>
      <c r="J25" s="21">
        <f>I25*102.7%</f>
        <v>81998.745903100033</v>
      </c>
      <c r="K25" s="21">
        <f>J25*102.7%</f>
        <v>84212.712042483749</v>
      </c>
      <c r="L25" s="21">
        <f>SUM(F25:K25)</f>
        <v>473198.34324558382</v>
      </c>
    </row>
    <row r="26" spans="1:12" x14ac:dyDescent="0.25">
      <c r="A26" s="68" t="s">
        <v>30</v>
      </c>
      <c r="B26" s="69" t="s">
        <v>31</v>
      </c>
      <c r="C26" s="67" t="s">
        <v>23</v>
      </c>
      <c r="D26" s="20" t="s">
        <v>20</v>
      </c>
      <c r="E26" s="21">
        <f t="shared" ref="E26" si="4">E27+E28+E29+E30</f>
        <v>3290.27</v>
      </c>
      <c r="F26" s="21">
        <f t="shared" ref="F26:K26" si="5">F27+F28+F29+F30</f>
        <v>7396.0599999999995</v>
      </c>
      <c r="G26" s="21">
        <f t="shared" si="5"/>
        <v>3485.1</v>
      </c>
      <c r="H26" s="21">
        <f t="shared" si="5"/>
        <v>3112.0694999999996</v>
      </c>
      <c r="I26" s="21">
        <f t="shared" si="5"/>
        <v>3199.7453765</v>
      </c>
      <c r="J26" s="21">
        <f t="shared" si="5"/>
        <v>3295.9429924185006</v>
      </c>
      <c r="K26" s="21">
        <f t="shared" si="5"/>
        <v>3372.1337382517077</v>
      </c>
      <c r="L26" s="21">
        <f>L27+L28+L29+L30</f>
        <v>23861.051607170211</v>
      </c>
    </row>
    <row r="27" spans="1:12" x14ac:dyDescent="0.25">
      <c r="A27" s="68"/>
      <c r="B27" s="69"/>
      <c r="C27" s="67"/>
      <c r="D27" s="20" t="s">
        <v>24</v>
      </c>
      <c r="E27" s="21">
        <v>0</v>
      </c>
      <c r="F27" s="21">
        <v>0</v>
      </c>
      <c r="G27" s="21">
        <v>0</v>
      </c>
      <c r="H27" s="21">
        <v>0</v>
      </c>
      <c r="I27" s="21">
        <v>0</v>
      </c>
      <c r="J27" s="21">
        <v>0</v>
      </c>
      <c r="K27" s="21">
        <v>0</v>
      </c>
      <c r="L27" s="21">
        <f>SUM(F27:K27)</f>
        <v>0</v>
      </c>
    </row>
    <row r="28" spans="1:12" x14ac:dyDescent="0.25">
      <c r="A28" s="68"/>
      <c r="B28" s="69"/>
      <c r="C28" s="67"/>
      <c r="D28" s="20" t="s">
        <v>25</v>
      </c>
      <c r="E28" s="21">
        <v>331.4</v>
      </c>
      <c r="F28" s="21">
        <v>331.4</v>
      </c>
      <c r="G28" s="21">
        <v>331.4</v>
      </c>
      <c r="H28" s="21">
        <v>0</v>
      </c>
      <c r="I28" s="21">
        <v>0</v>
      </c>
      <c r="J28" s="21">
        <v>0</v>
      </c>
      <c r="K28" s="21">
        <f>J28</f>
        <v>0</v>
      </c>
      <c r="L28" s="21">
        <f>SUM(F28:K28)</f>
        <v>662.8</v>
      </c>
    </row>
    <row r="29" spans="1:12" x14ac:dyDescent="0.25">
      <c r="A29" s="68"/>
      <c r="B29" s="69"/>
      <c r="C29" s="67"/>
      <c r="D29" s="20" t="s">
        <v>26</v>
      </c>
      <c r="E29" s="21">
        <v>2918.87</v>
      </c>
      <c r="F29" s="21">
        <v>7024.66</v>
      </c>
      <c r="G29" s="21">
        <v>3108.7</v>
      </c>
      <c r="H29" s="21">
        <f>G29*98.5%</f>
        <v>3062.0694999999996</v>
      </c>
      <c r="I29" s="21">
        <f>H29*102.7%</f>
        <v>3144.7453765</v>
      </c>
      <c r="J29" s="21">
        <f>I29*102.9%</f>
        <v>3235.9429924185006</v>
      </c>
      <c r="K29" s="21">
        <f>J29*102.2%</f>
        <v>3307.1337382517077</v>
      </c>
      <c r="L29" s="21">
        <f>SUM(F29:K29)</f>
        <v>22883.251607170212</v>
      </c>
    </row>
    <row r="30" spans="1:12" x14ac:dyDescent="0.25">
      <c r="A30" s="68"/>
      <c r="B30" s="69"/>
      <c r="C30" s="67"/>
      <c r="D30" s="20" t="s">
        <v>27</v>
      </c>
      <c r="E30" s="21">
        <v>40</v>
      </c>
      <c r="F30" s="21">
        <v>40</v>
      </c>
      <c r="G30" s="21">
        <v>45</v>
      </c>
      <c r="H30" s="21">
        <v>50</v>
      </c>
      <c r="I30" s="21">
        <v>55</v>
      </c>
      <c r="J30" s="21">
        <v>60</v>
      </c>
      <c r="K30" s="21">
        <v>65</v>
      </c>
      <c r="L30" s="21">
        <f>SUM(F30:K30)</f>
        <v>315</v>
      </c>
    </row>
    <row r="31" spans="1:12" x14ac:dyDescent="0.25">
      <c r="A31" s="79" t="s">
        <v>38</v>
      </c>
      <c r="B31" s="69" t="s">
        <v>32</v>
      </c>
      <c r="C31" s="67" t="s">
        <v>23</v>
      </c>
      <c r="D31" s="20" t="s">
        <v>20</v>
      </c>
      <c r="E31" s="21">
        <f t="shared" ref="E31" si="6">E32+E33+E34+E35</f>
        <v>4060</v>
      </c>
      <c r="F31" s="21">
        <f t="shared" ref="F31:K31" si="7">F32+F33+F34+F35</f>
        <v>5800</v>
      </c>
      <c r="G31" s="21">
        <f t="shared" si="7"/>
        <v>5800</v>
      </c>
      <c r="H31" s="21">
        <f t="shared" si="7"/>
        <v>5713</v>
      </c>
      <c r="I31" s="21">
        <f t="shared" si="7"/>
        <v>5867.2510000000011</v>
      </c>
      <c r="J31" s="21">
        <f t="shared" si="7"/>
        <v>6037.4012790000015</v>
      </c>
      <c r="K31" s="21">
        <f t="shared" si="7"/>
        <v>6170.2241071380013</v>
      </c>
      <c r="L31" s="21">
        <f>L32+L33+L34+L35</f>
        <v>35387.876386137999</v>
      </c>
    </row>
    <row r="32" spans="1:12" x14ac:dyDescent="0.25">
      <c r="A32" s="79"/>
      <c r="B32" s="69"/>
      <c r="C32" s="67"/>
      <c r="D32" s="20" t="s">
        <v>24</v>
      </c>
      <c r="E32" s="21">
        <v>0</v>
      </c>
      <c r="F32" s="21">
        <v>0</v>
      </c>
      <c r="G32" s="21">
        <v>0</v>
      </c>
      <c r="H32" s="21">
        <v>0</v>
      </c>
      <c r="I32" s="21">
        <v>0</v>
      </c>
      <c r="J32" s="21">
        <v>0</v>
      </c>
      <c r="K32" s="21">
        <v>0</v>
      </c>
      <c r="L32" s="21">
        <f>SUM(F32:K32)</f>
        <v>0</v>
      </c>
    </row>
    <row r="33" spans="1:12" x14ac:dyDescent="0.25">
      <c r="A33" s="79"/>
      <c r="B33" s="69"/>
      <c r="C33" s="67"/>
      <c r="D33" s="20" t="s">
        <v>25</v>
      </c>
      <c r="E33" s="21">
        <v>0</v>
      </c>
      <c r="F33" s="21">
        <v>0</v>
      </c>
      <c r="G33" s="21">
        <v>0</v>
      </c>
      <c r="H33" s="21">
        <v>0</v>
      </c>
      <c r="I33" s="21">
        <v>0</v>
      </c>
      <c r="J33" s="21">
        <v>0</v>
      </c>
      <c r="K33" s="21">
        <v>0</v>
      </c>
      <c r="L33" s="21">
        <f>SUM(F33:K33)</f>
        <v>0</v>
      </c>
    </row>
    <row r="34" spans="1:12" x14ac:dyDescent="0.25">
      <c r="A34" s="79"/>
      <c r="B34" s="69"/>
      <c r="C34" s="67"/>
      <c r="D34" s="20" t="s">
        <v>26</v>
      </c>
      <c r="E34" s="21">
        <v>4060</v>
      </c>
      <c r="F34" s="21">
        <v>5800</v>
      </c>
      <c r="G34" s="21">
        <v>5800</v>
      </c>
      <c r="H34" s="21">
        <f>G34*98.5%</f>
        <v>5713</v>
      </c>
      <c r="I34" s="21">
        <f>H34*102.7%</f>
        <v>5867.2510000000011</v>
      </c>
      <c r="J34" s="21">
        <f>I34*102.9%</f>
        <v>6037.4012790000015</v>
      </c>
      <c r="K34" s="21">
        <f>J34*102.2%</f>
        <v>6170.2241071380013</v>
      </c>
      <c r="L34" s="21">
        <f>SUM(F34:K34)</f>
        <v>35387.876386137999</v>
      </c>
    </row>
    <row r="35" spans="1:12" x14ac:dyDescent="0.25">
      <c r="A35" s="79"/>
      <c r="B35" s="69"/>
      <c r="C35" s="67"/>
      <c r="D35" s="20" t="s">
        <v>27</v>
      </c>
      <c r="E35" s="21">
        <v>0</v>
      </c>
      <c r="F35" s="21">
        <v>0</v>
      </c>
      <c r="G35" s="21">
        <v>0</v>
      </c>
      <c r="H35" s="21">
        <v>0</v>
      </c>
      <c r="I35" s="21">
        <v>0</v>
      </c>
      <c r="J35" s="21">
        <v>0</v>
      </c>
      <c r="K35" s="21">
        <v>0</v>
      </c>
      <c r="L35" s="21">
        <f>SUM(F35:K35)</f>
        <v>0</v>
      </c>
    </row>
    <row r="36" spans="1:12" x14ac:dyDescent="0.25">
      <c r="A36" s="79" t="s">
        <v>39</v>
      </c>
      <c r="B36" s="69" t="s">
        <v>33</v>
      </c>
      <c r="C36" s="67" t="s">
        <v>23</v>
      </c>
      <c r="D36" s="20" t="s">
        <v>20</v>
      </c>
      <c r="E36" s="21">
        <f t="shared" ref="E36" si="8">E39+E40</f>
        <v>1400</v>
      </c>
      <c r="F36" s="21">
        <f t="shared" ref="F36:K36" si="9">F39+F40</f>
        <v>2000</v>
      </c>
      <c r="G36" s="21">
        <f t="shared" si="9"/>
        <v>2000</v>
      </c>
      <c r="H36" s="21">
        <f t="shared" si="9"/>
        <v>1970</v>
      </c>
      <c r="I36" s="21">
        <f t="shared" si="9"/>
        <v>2023.1900000000003</v>
      </c>
      <c r="J36" s="21">
        <f t="shared" si="9"/>
        <v>2081.8625100000004</v>
      </c>
      <c r="K36" s="21">
        <f t="shared" si="9"/>
        <v>2127.6634852200004</v>
      </c>
      <c r="L36" s="21">
        <f>SUM(F36:K36)</f>
        <v>12202.715995220002</v>
      </c>
    </row>
    <row r="37" spans="1:12" x14ac:dyDescent="0.25">
      <c r="A37" s="79"/>
      <c r="B37" s="69"/>
      <c r="C37" s="67"/>
      <c r="D37" s="20" t="s">
        <v>24</v>
      </c>
      <c r="E37" s="21">
        <v>0</v>
      </c>
      <c r="F37" s="21">
        <v>0</v>
      </c>
      <c r="G37" s="21">
        <v>0</v>
      </c>
      <c r="H37" s="21">
        <v>0</v>
      </c>
      <c r="I37" s="21">
        <v>0</v>
      </c>
      <c r="J37" s="21">
        <v>0</v>
      </c>
      <c r="K37" s="21">
        <v>0</v>
      </c>
      <c r="L37" s="21">
        <v>0</v>
      </c>
    </row>
    <row r="38" spans="1:12" x14ac:dyDescent="0.25">
      <c r="A38" s="79"/>
      <c r="B38" s="69"/>
      <c r="C38" s="67"/>
      <c r="D38" s="20" t="s">
        <v>25</v>
      </c>
      <c r="E38" s="21">
        <v>0</v>
      </c>
      <c r="F38" s="21">
        <v>0</v>
      </c>
      <c r="G38" s="21">
        <v>0</v>
      </c>
      <c r="H38" s="21">
        <v>0</v>
      </c>
      <c r="I38" s="21">
        <v>0</v>
      </c>
      <c r="J38" s="21">
        <v>0</v>
      </c>
      <c r="K38" s="21">
        <v>0</v>
      </c>
      <c r="L38" s="21">
        <v>0</v>
      </c>
    </row>
    <row r="39" spans="1:12" x14ac:dyDescent="0.25">
      <c r="A39" s="79"/>
      <c r="B39" s="69"/>
      <c r="C39" s="67"/>
      <c r="D39" s="20" t="s">
        <v>26</v>
      </c>
      <c r="E39" s="21">
        <v>1400</v>
      </c>
      <c r="F39" s="21">
        <v>2000</v>
      </c>
      <c r="G39" s="21">
        <v>2000</v>
      </c>
      <c r="H39" s="21">
        <f>G39*98.5%</f>
        <v>1970</v>
      </c>
      <c r="I39" s="21">
        <f>H39*102.7%</f>
        <v>2023.1900000000003</v>
      </c>
      <c r="J39" s="21">
        <f>I39*102.9%</f>
        <v>2081.8625100000004</v>
      </c>
      <c r="K39" s="21">
        <f>J39*102.2%</f>
        <v>2127.6634852200004</v>
      </c>
      <c r="L39" s="21">
        <f>SUM(F39:K39)</f>
        <v>12202.715995220002</v>
      </c>
    </row>
    <row r="40" spans="1:12" x14ac:dyDescent="0.25">
      <c r="A40" s="79"/>
      <c r="B40" s="69"/>
      <c r="C40" s="67"/>
      <c r="D40" s="20" t="s">
        <v>27</v>
      </c>
      <c r="E40" s="21">
        <v>0</v>
      </c>
      <c r="F40" s="21">
        <v>0</v>
      </c>
      <c r="G40" s="21">
        <v>0</v>
      </c>
      <c r="H40" s="21">
        <v>0</v>
      </c>
      <c r="I40" s="21">
        <v>0</v>
      </c>
      <c r="J40" s="21">
        <v>0</v>
      </c>
      <c r="K40" s="21">
        <v>0</v>
      </c>
      <c r="L40" s="21">
        <f>F40+G40+H40+I40+J40+K40</f>
        <v>0</v>
      </c>
    </row>
    <row r="41" spans="1:12" x14ac:dyDescent="0.25">
      <c r="A41" s="79" t="s">
        <v>40</v>
      </c>
      <c r="B41" s="69" t="s">
        <v>34</v>
      </c>
      <c r="C41" s="67" t="s">
        <v>23</v>
      </c>
      <c r="D41" s="20" t="s">
        <v>20</v>
      </c>
      <c r="E41" s="21">
        <f t="shared" ref="E41" si="10">E42+E43+E44+E45</f>
        <v>0</v>
      </c>
      <c r="F41" s="21">
        <f t="shared" ref="F41:K41" si="11">F42+F43+F44+F45</f>
        <v>31200</v>
      </c>
      <c r="G41" s="21">
        <f t="shared" si="11"/>
        <v>31000</v>
      </c>
      <c r="H41" s="21">
        <f t="shared" si="11"/>
        <v>3000</v>
      </c>
      <c r="I41" s="21">
        <f t="shared" si="11"/>
        <v>3081.0000000000005</v>
      </c>
      <c r="J41" s="21">
        <f t="shared" si="11"/>
        <v>3170.3490000000011</v>
      </c>
      <c r="K41" s="21">
        <f t="shared" si="11"/>
        <v>3240.0966780000012</v>
      </c>
      <c r="L41" s="21">
        <f>L42+L43+L44+L45</f>
        <v>74691.445678000004</v>
      </c>
    </row>
    <row r="42" spans="1:12" x14ac:dyDescent="0.25">
      <c r="A42" s="79"/>
      <c r="B42" s="69"/>
      <c r="C42" s="67"/>
      <c r="D42" s="20" t="s">
        <v>24</v>
      </c>
      <c r="E42" s="21">
        <v>0</v>
      </c>
      <c r="F42" s="21">
        <v>0</v>
      </c>
      <c r="G42" s="21">
        <v>0</v>
      </c>
      <c r="H42" s="21">
        <v>0</v>
      </c>
      <c r="I42" s="21">
        <v>0</v>
      </c>
      <c r="J42" s="21">
        <v>0</v>
      </c>
      <c r="K42" s="21">
        <v>0</v>
      </c>
      <c r="L42" s="21">
        <f>SUM(F42:K42)</f>
        <v>0</v>
      </c>
    </row>
    <row r="43" spans="1:12" x14ac:dyDescent="0.25">
      <c r="A43" s="79"/>
      <c r="B43" s="69"/>
      <c r="C43" s="67"/>
      <c r="D43" s="20" t="s">
        <v>25</v>
      </c>
      <c r="E43" s="21">
        <v>0</v>
      </c>
      <c r="F43" s="21">
        <v>0</v>
      </c>
      <c r="G43" s="21">
        <v>0</v>
      </c>
      <c r="H43" s="21">
        <v>0</v>
      </c>
      <c r="I43" s="21">
        <v>0</v>
      </c>
      <c r="J43" s="21">
        <v>0</v>
      </c>
      <c r="K43" s="21">
        <v>0</v>
      </c>
      <c r="L43" s="21">
        <f>SUM(F43:K43)</f>
        <v>0</v>
      </c>
    </row>
    <row r="44" spans="1:12" x14ac:dyDescent="0.25">
      <c r="A44" s="79"/>
      <c r="B44" s="69"/>
      <c r="C44" s="67"/>
      <c r="D44" s="20" t="s">
        <v>26</v>
      </c>
      <c r="E44" s="21">
        <v>0</v>
      </c>
      <c r="F44" s="21">
        <v>31200</v>
      </c>
      <c r="G44" s="21">
        <v>31000</v>
      </c>
      <c r="H44" s="21">
        <v>3000</v>
      </c>
      <c r="I44" s="21">
        <f>H44*102.7%</f>
        <v>3081.0000000000005</v>
      </c>
      <c r="J44" s="21">
        <f>I44*102.9%</f>
        <v>3170.3490000000011</v>
      </c>
      <c r="K44" s="21">
        <f>J44*102.2%</f>
        <v>3240.0966780000012</v>
      </c>
      <c r="L44" s="21">
        <f>SUM(F44:K44)</f>
        <v>74691.445678000004</v>
      </c>
    </row>
    <row r="45" spans="1:12" x14ac:dyDescent="0.25">
      <c r="A45" s="79"/>
      <c r="B45" s="69"/>
      <c r="C45" s="67"/>
      <c r="D45" s="20" t="s">
        <v>27</v>
      </c>
      <c r="E45" s="21">
        <v>0</v>
      </c>
      <c r="F45" s="21">
        <v>0</v>
      </c>
      <c r="G45" s="21">
        <v>0</v>
      </c>
      <c r="H45" s="21">
        <v>0</v>
      </c>
      <c r="I45" s="21">
        <v>0</v>
      </c>
      <c r="J45" s="21">
        <v>0</v>
      </c>
      <c r="K45" s="21">
        <v>0</v>
      </c>
      <c r="L45" s="21">
        <f>SUM(F45:K45)</f>
        <v>0</v>
      </c>
    </row>
    <row r="46" spans="1:12" x14ac:dyDescent="0.25">
      <c r="A46" s="79" t="s">
        <v>41</v>
      </c>
      <c r="B46" s="69" t="s">
        <v>35</v>
      </c>
      <c r="C46" s="67" t="s">
        <v>23</v>
      </c>
      <c r="D46" s="20" t="s">
        <v>20</v>
      </c>
      <c r="E46" s="21">
        <f t="shared" ref="E46" si="12">E47+E48+E49+E50</f>
        <v>1800</v>
      </c>
      <c r="F46" s="21">
        <f t="shared" ref="F46:K46" si="13">F47+F48+F49+F50</f>
        <v>1800</v>
      </c>
      <c r="G46" s="21">
        <f t="shared" si="13"/>
        <v>1800</v>
      </c>
      <c r="H46" s="21">
        <f t="shared" si="13"/>
        <v>1800</v>
      </c>
      <c r="I46" s="21">
        <f t="shared" si="13"/>
        <v>1800</v>
      </c>
      <c r="J46" s="21">
        <f t="shared" si="13"/>
        <v>1800</v>
      </c>
      <c r="K46" s="21">
        <f t="shared" si="13"/>
        <v>1800</v>
      </c>
      <c r="L46" s="21">
        <f>L47+L48+L49+L50</f>
        <v>10800</v>
      </c>
    </row>
    <row r="47" spans="1:12" x14ac:dyDescent="0.25">
      <c r="A47" s="79"/>
      <c r="B47" s="69"/>
      <c r="C47" s="67"/>
      <c r="D47" s="20" t="s">
        <v>24</v>
      </c>
      <c r="E47" s="21">
        <v>0</v>
      </c>
      <c r="F47" s="21">
        <v>0</v>
      </c>
      <c r="G47" s="21">
        <v>0</v>
      </c>
      <c r="H47" s="21">
        <v>0</v>
      </c>
      <c r="I47" s="21">
        <v>0</v>
      </c>
      <c r="J47" s="21">
        <v>0</v>
      </c>
      <c r="K47" s="21">
        <v>0</v>
      </c>
      <c r="L47" s="21">
        <f>SUM(F47:K47)</f>
        <v>0</v>
      </c>
    </row>
    <row r="48" spans="1:12" x14ac:dyDescent="0.25">
      <c r="A48" s="79"/>
      <c r="B48" s="69"/>
      <c r="C48" s="67"/>
      <c r="D48" s="20" t="s">
        <v>25</v>
      </c>
      <c r="E48" s="21">
        <v>0</v>
      </c>
      <c r="F48" s="21">
        <v>0</v>
      </c>
      <c r="G48" s="21">
        <v>0</v>
      </c>
      <c r="H48" s="21">
        <v>0</v>
      </c>
      <c r="I48" s="21">
        <v>0</v>
      </c>
      <c r="J48" s="21">
        <v>0</v>
      </c>
      <c r="K48" s="21">
        <v>0</v>
      </c>
      <c r="L48" s="21">
        <f>SUM(F48:K48)</f>
        <v>0</v>
      </c>
    </row>
    <row r="49" spans="1:12" x14ac:dyDescent="0.25">
      <c r="A49" s="79"/>
      <c r="B49" s="69"/>
      <c r="C49" s="67"/>
      <c r="D49" s="20" t="s">
        <v>26</v>
      </c>
      <c r="E49" s="21">
        <v>1800</v>
      </c>
      <c r="F49" s="21">
        <v>1800</v>
      </c>
      <c r="G49" s="21">
        <v>1800</v>
      </c>
      <c r="H49" s="21">
        <v>1800</v>
      </c>
      <c r="I49" s="21">
        <v>1800</v>
      </c>
      <c r="J49" s="21">
        <v>1800</v>
      </c>
      <c r="K49" s="21">
        <v>1800</v>
      </c>
      <c r="L49" s="21">
        <f>SUM(F49:K49)</f>
        <v>10800</v>
      </c>
    </row>
    <row r="50" spans="1:12" x14ac:dyDescent="0.25">
      <c r="A50" s="79"/>
      <c r="B50" s="69"/>
      <c r="C50" s="67"/>
      <c r="D50" s="20" t="s">
        <v>27</v>
      </c>
      <c r="E50" s="21">
        <v>0</v>
      </c>
      <c r="F50" s="21">
        <v>0</v>
      </c>
      <c r="G50" s="21">
        <v>0</v>
      </c>
      <c r="H50" s="21">
        <v>0</v>
      </c>
      <c r="I50" s="21">
        <v>0</v>
      </c>
      <c r="J50" s="21">
        <v>0</v>
      </c>
      <c r="K50" s="21">
        <v>0</v>
      </c>
      <c r="L50" s="21">
        <f>SUM(F50:K50)</f>
        <v>0</v>
      </c>
    </row>
    <row r="51" spans="1:12" x14ac:dyDescent="0.25">
      <c r="A51" s="79" t="s">
        <v>42</v>
      </c>
      <c r="B51" s="80" t="s">
        <v>47</v>
      </c>
      <c r="C51" s="67" t="s">
        <v>23</v>
      </c>
      <c r="D51" s="20" t="s">
        <v>20</v>
      </c>
      <c r="E51" s="21">
        <f t="shared" ref="E51" si="14">E52+E53+E54+E55</f>
        <v>62095.150000000009</v>
      </c>
      <c r="F51" s="21">
        <f t="shared" ref="F51:K51" si="15">F52+F53+F54+F55</f>
        <v>89753.89</v>
      </c>
      <c r="G51" s="21">
        <f t="shared" si="15"/>
        <v>72328.310000000012</v>
      </c>
      <c r="H51" s="21">
        <f t="shared" si="15"/>
        <v>69439.806250000009</v>
      </c>
      <c r="I51" s="21">
        <f t="shared" si="15"/>
        <v>71500.318317550016</v>
      </c>
      <c r="J51" s="21">
        <f t="shared" si="15"/>
        <v>73734.558509969982</v>
      </c>
      <c r="K51" s="21">
        <f t="shared" si="15"/>
        <v>75640.617893976305</v>
      </c>
      <c r="L51" s="21">
        <f>L52+L53+L54+L55</f>
        <v>452397.50097149634</v>
      </c>
    </row>
    <row r="52" spans="1:12" x14ac:dyDescent="0.25">
      <c r="A52" s="79"/>
      <c r="B52" s="81"/>
      <c r="C52" s="67"/>
      <c r="D52" s="20" t="s">
        <v>24</v>
      </c>
      <c r="E52" s="21">
        <v>0</v>
      </c>
      <c r="F52" s="21">
        <v>0</v>
      </c>
      <c r="G52" s="21">
        <v>0</v>
      </c>
      <c r="H52" s="21">
        <v>0</v>
      </c>
      <c r="I52" s="21">
        <v>0</v>
      </c>
      <c r="J52" s="21">
        <v>0</v>
      </c>
      <c r="K52" s="21">
        <v>0</v>
      </c>
      <c r="L52" s="21">
        <f>SUM(F52:K52)</f>
        <v>0</v>
      </c>
    </row>
    <row r="53" spans="1:12" x14ac:dyDescent="0.25">
      <c r="A53" s="79"/>
      <c r="B53" s="81"/>
      <c r="C53" s="67"/>
      <c r="D53" s="20" t="s">
        <v>25</v>
      </c>
      <c r="E53" s="21">
        <v>2647.3</v>
      </c>
      <c r="F53" s="21">
        <v>2647.3</v>
      </c>
      <c r="G53" s="21">
        <v>2647.3</v>
      </c>
      <c r="H53" s="21">
        <v>0</v>
      </c>
      <c r="I53" s="21">
        <v>0</v>
      </c>
      <c r="J53" s="21">
        <v>0</v>
      </c>
      <c r="K53" s="21">
        <f>J53</f>
        <v>0</v>
      </c>
      <c r="L53" s="21">
        <f>SUM(F53:K53)</f>
        <v>5294.6</v>
      </c>
    </row>
    <row r="54" spans="1:12" x14ac:dyDescent="0.25">
      <c r="A54" s="79"/>
      <c r="B54" s="81"/>
      <c r="C54" s="67"/>
      <c r="D54" s="20" t="s">
        <v>26</v>
      </c>
      <c r="E54" s="21">
        <v>45117.65</v>
      </c>
      <c r="F54" s="21">
        <v>72776.39</v>
      </c>
      <c r="G54" s="21">
        <v>54791.91</v>
      </c>
      <c r="H54" s="21">
        <f>G54*98.5%</f>
        <v>53970.031350000005</v>
      </c>
      <c r="I54" s="21">
        <f>H54*102.7%</f>
        <v>55427.222196450013</v>
      </c>
      <c r="J54" s="21">
        <f>I54*102.9%</f>
        <v>57034.611640147072</v>
      </c>
      <c r="K54" s="21">
        <f>J54*102.2%</f>
        <v>58289.373096230309</v>
      </c>
      <c r="L54" s="21">
        <f>SUM(F54:K54)</f>
        <v>352289.53828282742</v>
      </c>
    </row>
    <row r="55" spans="1:12" x14ac:dyDescent="0.25">
      <c r="A55" s="79"/>
      <c r="B55" s="82"/>
      <c r="C55" s="67"/>
      <c r="D55" s="20" t="s">
        <v>27</v>
      </c>
      <c r="E55" s="21">
        <v>14330.2</v>
      </c>
      <c r="F55" s="21">
        <v>14330.2</v>
      </c>
      <c r="G55" s="21">
        <v>14889.1</v>
      </c>
      <c r="H55" s="21">
        <f>G55*103.9%</f>
        <v>15469.774900000002</v>
      </c>
      <c r="I55" s="21">
        <f>H55*103.9%</f>
        <v>16073.096121100005</v>
      </c>
      <c r="J55" s="21">
        <f>I55*103.9%</f>
        <v>16699.946869822907</v>
      </c>
      <c r="K55" s="21">
        <f>J55*103.9%</f>
        <v>17351.244797746003</v>
      </c>
      <c r="L55" s="21">
        <f>SUM(F55:K55)</f>
        <v>94813.362688668916</v>
      </c>
    </row>
    <row r="56" spans="1:12" x14ac:dyDescent="0.25">
      <c r="A56" s="67"/>
      <c r="B56" s="67"/>
      <c r="C56" s="67" t="s">
        <v>37</v>
      </c>
      <c r="D56" s="25" t="s">
        <v>20</v>
      </c>
      <c r="E56" s="21">
        <f t="shared" ref="E56" si="16">E16+E21+E26+E31+E36+E41+E46+E51</f>
        <v>178278.36000000002</v>
      </c>
      <c r="F56" s="21">
        <f t="shared" ref="F56:K60" si="17">F16+F21+F26+F31+F36+F41+F46+F51</f>
        <v>270185.14999999997</v>
      </c>
      <c r="G56" s="21">
        <f t="shared" si="17"/>
        <v>250738.81</v>
      </c>
      <c r="H56" s="21">
        <f t="shared" si="17"/>
        <v>219348.76105000003</v>
      </c>
      <c r="I56" s="21">
        <f t="shared" si="17"/>
        <v>225449.20596595004</v>
      </c>
      <c r="J56" s="21">
        <f t="shared" si="17"/>
        <v>231973.56132248725</v>
      </c>
      <c r="K56" s="21">
        <f t="shared" si="17"/>
        <v>237788.26814359776</v>
      </c>
      <c r="L56" s="21">
        <f t="shared" ref="L56:L60" si="18">SUM(F56:K56)</f>
        <v>1435483.7564820352</v>
      </c>
    </row>
    <row r="57" spans="1:12" x14ac:dyDescent="0.25">
      <c r="A57" s="67"/>
      <c r="B57" s="67"/>
      <c r="C57" s="67"/>
      <c r="D57" s="25" t="s">
        <v>24</v>
      </c>
      <c r="E57" s="21">
        <f t="shared" ref="E57" si="19">E17+E22+E27+E32+E37+E42+E47+E52</f>
        <v>0</v>
      </c>
      <c r="F57" s="21">
        <f t="shared" si="17"/>
        <v>0</v>
      </c>
      <c r="G57" s="21">
        <f t="shared" si="17"/>
        <v>0</v>
      </c>
      <c r="H57" s="21">
        <f t="shared" si="17"/>
        <v>0</v>
      </c>
      <c r="I57" s="21">
        <f t="shared" si="17"/>
        <v>0</v>
      </c>
      <c r="J57" s="21">
        <f t="shared" si="17"/>
        <v>0</v>
      </c>
      <c r="K57" s="21">
        <f t="shared" si="17"/>
        <v>0</v>
      </c>
      <c r="L57" s="21">
        <f t="shared" si="18"/>
        <v>0</v>
      </c>
    </row>
    <row r="58" spans="1:12" x14ac:dyDescent="0.25">
      <c r="A58" s="67"/>
      <c r="B58" s="67"/>
      <c r="C58" s="67"/>
      <c r="D58" s="25" t="s">
        <v>25</v>
      </c>
      <c r="E58" s="21">
        <f t="shared" ref="E58" si="20">E18+E23+E28+E33+E38+E43+E48+E53</f>
        <v>4304.3999999999996</v>
      </c>
      <c r="F58" s="21">
        <f t="shared" si="17"/>
        <v>4304.3999999999996</v>
      </c>
      <c r="G58" s="21">
        <f t="shared" si="17"/>
        <v>4304.3999999999996</v>
      </c>
      <c r="H58" s="21">
        <f t="shared" si="17"/>
        <v>0</v>
      </c>
      <c r="I58" s="21">
        <f t="shared" si="17"/>
        <v>0</v>
      </c>
      <c r="J58" s="21">
        <f t="shared" si="17"/>
        <v>0</v>
      </c>
      <c r="K58" s="21">
        <f t="shared" si="17"/>
        <v>0</v>
      </c>
      <c r="L58" s="21">
        <f t="shared" si="18"/>
        <v>8608.7999999999993</v>
      </c>
    </row>
    <row r="59" spans="1:12" x14ac:dyDescent="0.25">
      <c r="A59" s="67"/>
      <c r="B59" s="67"/>
      <c r="C59" s="67"/>
      <c r="D59" s="25" t="s">
        <v>26</v>
      </c>
      <c r="E59" s="21">
        <f t="shared" ref="E59" si="21">E19+E24+E29+E34+E39+E44+E49+E54</f>
        <v>83756.36</v>
      </c>
      <c r="F59" s="21">
        <f t="shared" si="17"/>
        <v>175663.15</v>
      </c>
      <c r="G59" s="21">
        <f t="shared" si="17"/>
        <v>153562.71</v>
      </c>
      <c r="H59" s="21">
        <f t="shared" si="17"/>
        <v>123751.26935</v>
      </c>
      <c r="I59" s="21">
        <f t="shared" si="17"/>
        <v>127043.95362245003</v>
      </c>
      <c r="J59" s="21">
        <f t="shared" si="17"/>
        <v>130676.02827750109</v>
      </c>
      <c r="K59" s="21">
        <f t="shared" si="17"/>
        <v>133511.30089960614</v>
      </c>
      <c r="L59" s="21">
        <f t="shared" si="18"/>
        <v>844208.41214955738</v>
      </c>
    </row>
    <row r="60" spans="1:12" x14ac:dyDescent="0.25">
      <c r="A60" s="67"/>
      <c r="B60" s="67"/>
      <c r="C60" s="67"/>
      <c r="D60" s="25" t="s">
        <v>27</v>
      </c>
      <c r="E60" s="21">
        <f t="shared" ref="E60" si="22">E20+E25+E30+E35+E40+E45+E50+E55</f>
        <v>90217.599999999991</v>
      </c>
      <c r="F60" s="21">
        <f t="shared" si="17"/>
        <v>90217.599999999991</v>
      </c>
      <c r="G60" s="21">
        <f t="shared" si="17"/>
        <v>92871.700000000012</v>
      </c>
      <c r="H60" s="21">
        <f t="shared" si="17"/>
        <v>95597.491700000013</v>
      </c>
      <c r="I60" s="21">
        <f t="shared" si="17"/>
        <v>98405.252343500018</v>
      </c>
      <c r="J60" s="21">
        <f t="shared" si="17"/>
        <v>101297.53304498614</v>
      </c>
      <c r="K60" s="21">
        <f t="shared" si="17"/>
        <v>104276.96724399168</v>
      </c>
      <c r="L60" s="21">
        <f t="shared" si="18"/>
        <v>582666.54433247785</v>
      </c>
    </row>
    <row r="62" spans="1:12" x14ac:dyDescent="0.25">
      <c r="F62" s="23">
        <f>F59-D5</f>
        <v>55251.549999999988</v>
      </c>
    </row>
    <row r="63" spans="1:12" x14ac:dyDescent="0.25">
      <c r="H63" s="23">
        <f>G5-H59</f>
        <v>-5145.8433499999956</v>
      </c>
      <c r="I63" s="23">
        <f>H5-I59</f>
        <v>-5236.1811204500409</v>
      </c>
      <c r="J63" s="23">
        <f>I5-J59</f>
        <v>-5335.8303729431063</v>
      </c>
      <c r="K63" s="23">
        <f>J5-K59</f>
        <v>-5413.6186411478848</v>
      </c>
    </row>
  </sheetData>
  <mergeCells count="34">
    <mergeCell ref="A1:J1"/>
    <mergeCell ref="A9:L9"/>
    <mergeCell ref="A10:L10"/>
    <mergeCell ref="A12:A14"/>
    <mergeCell ref="B12:B14"/>
    <mergeCell ref="C12:C14"/>
    <mergeCell ref="D12:D14"/>
    <mergeCell ref="E12:L13"/>
    <mergeCell ref="A16:A20"/>
    <mergeCell ref="B16:B20"/>
    <mergeCell ref="C16:C20"/>
    <mergeCell ref="A21:A25"/>
    <mergeCell ref="B21:B25"/>
    <mergeCell ref="C21:C25"/>
    <mergeCell ref="A26:A30"/>
    <mergeCell ref="B26:B30"/>
    <mergeCell ref="C26:C30"/>
    <mergeCell ref="A31:A35"/>
    <mergeCell ref="B31:B35"/>
    <mergeCell ref="C31:C35"/>
    <mergeCell ref="A36:A40"/>
    <mergeCell ref="B36:B40"/>
    <mergeCell ref="C36:C40"/>
    <mergeCell ref="A41:A45"/>
    <mergeCell ref="B41:B45"/>
    <mergeCell ref="C41:C45"/>
    <mergeCell ref="A56:B60"/>
    <mergeCell ref="C56:C60"/>
    <mergeCell ref="A46:A50"/>
    <mergeCell ref="B46:B50"/>
    <mergeCell ref="C46:C50"/>
    <mergeCell ref="A51:A55"/>
    <mergeCell ref="B51:B55"/>
    <mergeCell ref="C51:C55"/>
  </mergeCells>
  <pageMargins left="0.51181102362204722" right="0.31496062992125984" top="0.55118110236220474" bottom="0.19685039370078741" header="0" footer="0"/>
  <pageSetup paperSize="8" scale="5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7"/>
  <sheetViews>
    <sheetView topLeftCell="A9" zoomScale="75" zoomScaleNormal="75" workbookViewId="0">
      <selection activeCell="K21" sqref="K21"/>
    </sheetView>
  </sheetViews>
  <sheetFormatPr defaultRowHeight="15" x14ac:dyDescent="0.25"/>
  <cols>
    <col min="1" max="1" width="7.140625" customWidth="1"/>
    <col min="2" max="2" width="55" customWidth="1"/>
    <col min="3" max="3" width="16.85546875" customWidth="1"/>
    <col min="4" max="4" width="13.7109375" customWidth="1"/>
    <col min="5" max="5" width="14.140625" customWidth="1"/>
    <col min="6" max="6" width="14.85546875" customWidth="1"/>
    <col min="7" max="7" width="12.85546875" customWidth="1"/>
    <col min="8" max="8" width="13.7109375" customWidth="1"/>
    <col min="9" max="9" width="14.140625" customWidth="1"/>
    <col min="10" max="10" width="11.5703125" bestFit="1" customWidth="1"/>
    <col min="11" max="11" width="13.28515625" customWidth="1"/>
  </cols>
  <sheetData>
    <row r="1" spans="1:11" ht="21" customHeight="1" x14ac:dyDescent="0.25">
      <c r="B1" s="7"/>
      <c r="C1" s="7"/>
      <c r="D1" s="7"/>
      <c r="E1" s="7"/>
      <c r="F1" s="7"/>
      <c r="G1" s="7"/>
      <c r="H1" s="7"/>
      <c r="I1" s="31"/>
      <c r="J1" s="32" t="s">
        <v>48</v>
      </c>
      <c r="K1" s="32"/>
    </row>
    <row r="2" spans="1:11" x14ac:dyDescent="0.25">
      <c r="B2" s="4"/>
      <c r="C2" s="4"/>
      <c r="D2" s="4"/>
      <c r="E2" s="4"/>
      <c r="F2" s="4"/>
      <c r="G2" s="4"/>
      <c r="H2" s="4"/>
      <c r="I2" s="33" t="s">
        <v>49</v>
      </c>
      <c r="J2" s="33"/>
      <c r="K2" s="32"/>
    </row>
    <row r="3" spans="1:11" x14ac:dyDescent="0.25">
      <c r="B3" s="5"/>
      <c r="C3" s="13"/>
      <c r="D3" s="13"/>
      <c r="E3" s="13"/>
      <c r="F3" s="13"/>
      <c r="G3" s="13"/>
      <c r="H3" s="13"/>
      <c r="I3" s="33" t="s">
        <v>50</v>
      </c>
      <c r="J3" s="32"/>
      <c r="K3" s="33"/>
    </row>
    <row r="4" spans="1:11" x14ac:dyDescent="0.25">
      <c r="B4" s="5"/>
      <c r="C4" s="13"/>
      <c r="D4" s="13"/>
      <c r="E4" s="13"/>
      <c r="F4" s="13"/>
      <c r="G4" s="13"/>
      <c r="H4" s="13"/>
      <c r="I4" s="33"/>
      <c r="J4" s="32"/>
      <c r="K4" s="33"/>
    </row>
    <row r="5" spans="1:11" x14ac:dyDescent="0.25">
      <c r="A5" s="66" t="s">
        <v>14</v>
      </c>
      <c r="B5" s="66"/>
      <c r="C5" s="66"/>
      <c r="D5" s="66"/>
      <c r="E5" s="66"/>
      <c r="F5" s="66"/>
      <c r="G5" s="66"/>
      <c r="H5" s="66"/>
      <c r="I5" s="66"/>
      <c r="J5" s="66"/>
      <c r="K5" s="66"/>
    </row>
    <row r="6" spans="1:11" x14ac:dyDescent="0.25">
      <c r="A6" s="66" t="s">
        <v>15</v>
      </c>
      <c r="B6" s="66"/>
      <c r="C6" s="66"/>
      <c r="D6" s="66"/>
      <c r="E6" s="66"/>
      <c r="F6" s="66"/>
      <c r="G6" s="66"/>
      <c r="H6" s="66"/>
      <c r="I6" s="66"/>
      <c r="J6" s="66"/>
      <c r="K6" s="66"/>
    </row>
    <row r="7" spans="1:11" x14ac:dyDescent="0.25">
      <c r="A7" s="17"/>
      <c r="B7" s="18"/>
      <c r="C7" s="18"/>
      <c r="D7" s="18"/>
      <c r="E7" s="18"/>
      <c r="F7" s="18"/>
      <c r="G7" s="30">
        <v>98.5</v>
      </c>
      <c r="H7" s="22">
        <v>102.7</v>
      </c>
      <c r="I7" s="22">
        <v>102.9</v>
      </c>
      <c r="J7" s="22">
        <v>102.2</v>
      </c>
      <c r="K7" s="18"/>
    </row>
    <row r="8" spans="1:11" ht="15" customHeight="1" x14ac:dyDescent="0.25">
      <c r="A8" s="67" t="s">
        <v>7</v>
      </c>
      <c r="B8" s="67" t="s">
        <v>16</v>
      </c>
      <c r="C8" s="67" t="s">
        <v>17</v>
      </c>
      <c r="D8" s="67" t="s">
        <v>18</v>
      </c>
      <c r="E8" s="84"/>
      <c r="F8" s="84"/>
      <c r="G8" s="84"/>
      <c r="H8" s="84"/>
      <c r="I8" s="84"/>
      <c r="J8" s="84"/>
      <c r="K8" s="85"/>
    </row>
    <row r="9" spans="1:11" ht="10.5" customHeight="1" x14ac:dyDescent="0.25">
      <c r="A9" s="67"/>
      <c r="B9" s="67"/>
      <c r="C9" s="67"/>
      <c r="D9" s="67"/>
      <c r="E9" s="87"/>
      <c r="F9" s="87"/>
      <c r="G9" s="87"/>
      <c r="H9" s="87"/>
      <c r="I9" s="87"/>
      <c r="J9" s="87"/>
      <c r="K9" s="88"/>
    </row>
    <row r="10" spans="1:11" ht="43.5" customHeight="1" x14ac:dyDescent="0.25">
      <c r="A10" s="67"/>
      <c r="B10" s="67"/>
      <c r="C10" s="67"/>
      <c r="D10" s="67"/>
      <c r="E10" s="38" t="s">
        <v>65</v>
      </c>
      <c r="F10" s="29" t="s">
        <v>0</v>
      </c>
      <c r="G10" s="20" t="s">
        <v>3</v>
      </c>
      <c r="H10" s="29" t="s">
        <v>4</v>
      </c>
      <c r="I10" s="29" t="s">
        <v>5</v>
      </c>
      <c r="J10" s="29" t="s">
        <v>6</v>
      </c>
      <c r="K10" s="29" t="s">
        <v>20</v>
      </c>
    </row>
    <row r="11" spans="1:11" ht="12" customHeight="1" x14ac:dyDescent="0.25">
      <c r="A11" s="26">
        <v>1</v>
      </c>
      <c r="B11" s="26">
        <v>2</v>
      </c>
      <c r="C11" s="26">
        <v>3</v>
      </c>
      <c r="D11" s="26">
        <v>4</v>
      </c>
      <c r="E11" s="26">
        <v>5</v>
      </c>
      <c r="F11" s="26">
        <v>6</v>
      </c>
      <c r="G11" s="26">
        <v>7</v>
      </c>
      <c r="H11" s="26">
        <v>8</v>
      </c>
      <c r="I11" s="26">
        <v>9</v>
      </c>
      <c r="J11" s="26">
        <v>10</v>
      </c>
      <c r="K11" s="26">
        <v>11</v>
      </c>
    </row>
    <row r="12" spans="1:11" x14ac:dyDescent="0.25">
      <c r="A12" s="70">
        <v>1</v>
      </c>
      <c r="B12" s="71" t="s">
        <v>22</v>
      </c>
      <c r="C12" s="67" t="s">
        <v>23</v>
      </c>
      <c r="D12" s="29" t="s">
        <v>20</v>
      </c>
      <c r="E12" s="21">
        <f t="shared" ref="E12:J12" si="0">SUM(E13:E16)</f>
        <v>15530.74</v>
      </c>
      <c r="F12" s="21">
        <f t="shared" si="0"/>
        <v>15620.94</v>
      </c>
      <c r="G12" s="21">
        <f t="shared" si="0"/>
        <v>14210.592199999999</v>
      </c>
      <c r="H12" s="21">
        <f t="shared" si="0"/>
        <v>14631.619258199999</v>
      </c>
      <c r="I12" s="21">
        <f t="shared" si="0"/>
        <v>15090.0146096014</v>
      </c>
      <c r="J12" s="21">
        <f t="shared" si="0"/>
        <v>15475.310576725959</v>
      </c>
      <c r="K12" s="21">
        <f>K13+K14+K15+K16</f>
        <v>90559.216644527347</v>
      </c>
    </row>
    <row r="13" spans="1:11" x14ac:dyDescent="0.25">
      <c r="A13" s="70"/>
      <c r="B13" s="71"/>
      <c r="C13" s="67"/>
      <c r="D13" s="29" t="s">
        <v>24</v>
      </c>
      <c r="E13" s="21">
        <v>0</v>
      </c>
      <c r="F13" s="21">
        <v>0</v>
      </c>
      <c r="G13" s="21">
        <v>0</v>
      </c>
      <c r="H13" s="21">
        <v>0</v>
      </c>
      <c r="I13" s="21">
        <v>0</v>
      </c>
      <c r="J13" s="21">
        <v>0</v>
      </c>
      <c r="K13" s="21">
        <f>SUM(E13:J13)</f>
        <v>0</v>
      </c>
    </row>
    <row r="14" spans="1:11" x14ac:dyDescent="0.25">
      <c r="A14" s="70"/>
      <c r="B14" s="71"/>
      <c r="C14" s="67"/>
      <c r="D14" s="29" t="s">
        <v>25</v>
      </c>
      <c r="E14" s="21">
        <v>1325.7</v>
      </c>
      <c r="F14" s="21">
        <v>1325.7</v>
      </c>
      <c r="G14" s="21">
        <v>0</v>
      </c>
      <c r="H14" s="21">
        <v>0</v>
      </c>
      <c r="I14" s="21">
        <v>0</v>
      </c>
      <c r="J14" s="21">
        <v>0</v>
      </c>
      <c r="K14" s="21">
        <f>SUM(E14:J14)</f>
        <v>2651.4</v>
      </c>
    </row>
    <row r="15" spans="1:11" x14ac:dyDescent="0.25">
      <c r="A15" s="70"/>
      <c r="B15" s="71"/>
      <c r="C15" s="67"/>
      <c r="D15" s="29" t="s">
        <v>26</v>
      </c>
      <c r="E15" s="40">
        <v>12057.64</v>
      </c>
      <c r="F15" s="40">
        <v>12057.64</v>
      </c>
      <c r="G15" s="40">
        <f>F15*98.5%</f>
        <v>11876.775399999999</v>
      </c>
      <c r="H15" s="40">
        <f>G15*102.7%</f>
        <v>12197.4483358</v>
      </c>
      <c r="I15" s="40">
        <f>H15*102.9%</f>
        <v>12551.174337538201</v>
      </c>
      <c r="J15" s="40">
        <f>I15*102.2%</f>
        <v>12827.300172964042</v>
      </c>
      <c r="K15" s="21">
        <f>SUM(E15:J15)</f>
        <v>73567.978246302242</v>
      </c>
    </row>
    <row r="16" spans="1:11" x14ac:dyDescent="0.25">
      <c r="A16" s="70"/>
      <c r="B16" s="71"/>
      <c r="C16" s="67"/>
      <c r="D16" s="29" t="s">
        <v>27</v>
      </c>
      <c r="E16" s="21">
        <v>2147.4</v>
      </c>
      <c r="F16" s="21">
        <v>2237.6</v>
      </c>
      <c r="G16" s="21">
        <f>F16*104.3%</f>
        <v>2333.8167999999996</v>
      </c>
      <c r="H16" s="21">
        <f>G16*104.3%</f>
        <v>2434.1709223999992</v>
      </c>
      <c r="I16" s="21">
        <f>H16*104.3%</f>
        <v>2538.8402720631989</v>
      </c>
      <c r="J16" s="21">
        <f>I16*104.3%</f>
        <v>2648.0104037619162</v>
      </c>
      <c r="K16" s="21">
        <f>SUM(E16:J16)</f>
        <v>14339.838398225114</v>
      </c>
    </row>
    <row r="17" spans="1:11" x14ac:dyDescent="0.25">
      <c r="A17" s="72">
        <v>2</v>
      </c>
      <c r="B17" s="74" t="s">
        <v>29</v>
      </c>
      <c r="C17" s="76" t="s">
        <v>23</v>
      </c>
      <c r="D17" s="29" t="s">
        <v>20</v>
      </c>
      <c r="E17" s="21">
        <f t="shared" ref="E17:J17" si="1">SUM(E18:E21)</f>
        <v>95255.2</v>
      </c>
      <c r="F17" s="21">
        <f t="shared" si="1"/>
        <v>96255.2</v>
      </c>
      <c r="G17" s="21">
        <f t="shared" si="1"/>
        <v>97255.2</v>
      </c>
      <c r="H17" s="21">
        <f t="shared" si="1"/>
        <v>98842.590400000001</v>
      </c>
      <c r="I17" s="21">
        <f t="shared" si="1"/>
        <v>100490.52552160001</v>
      </c>
      <c r="J17" s="21">
        <f t="shared" si="1"/>
        <v>101996.31708307521</v>
      </c>
      <c r="K17" s="21">
        <f>K18+K19+K20+K21</f>
        <v>590095.03300467529</v>
      </c>
    </row>
    <row r="18" spans="1:11" x14ac:dyDescent="0.25">
      <c r="A18" s="73"/>
      <c r="B18" s="75"/>
      <c r="C18" s="77"/>
      <c r="D18" s="29" t="s">
        <v>24</v>
      </c>
      <c r="E18" s="21">
        <v>0</v>
      </c>
      <c r="F18" s="21">
        <v>0</v>
      </c>
      <c r="G18" s="21">
        <v>0</v>
      </c>
      <c r="H18" s="21">
        <v>0</v>
      </c>
      <c r="I18" s="21">
        <v>0</v>
      </c>
      <c r="J18" s="21">
        <v>0</v>
      </c>
      <c r="K18" s="21">
        <f>SUM(E18:J18)</f>
        <v>0</v>
      </c>
    </row>
    <row r="19" spans="1:11" x14ac:dyDescent="0.25">
      <c r="A19" s="73"/>
      <c r="B19" s="75"/>
      <c r="C19" s="77"/>
      <c r="D19" s="29" t="s">
        <v>25</v>
      </c>
      <c r="E19" s="21">
        <v>0</v>
      </c>
      <c r="F19" s="21">
        <v>0</v>
      </c>
      <c r="G19" s="21">
        <v>0</v>
      </c>
      <c r="H19" s="21">
        <v>0</v>
      </c>
      <c r="I19" s="21">
        <v>0</v>
      </c>
      <c r="J19" s="21">
        <v>0</v>
      </c>
      <c r="K19" s="21">
        <f>SUM(E19:J19)</f>
        <v>0</v>
      </c>
    </row>
    <row r="20" spans="1:11" x14ac:dyDescent="0.25">
      <c r="A20" s="73"/>
      <c r="B20" s="75"/>
      <c r="C20" s="77"/>
      <c r="D20" s="29" t="s">
        <v>26</v>
      </c>
      <c r="E20" s="21">
        <v>21755.200000000001</v>
      </c>
      <c r="F20" s="21">
        <v>21755.200000000001</v>
      </c>
      <c r="G20" s="21">
        <v>21755.200000000001</v>
      </c>
      <c r="H20" s="21">
        <f>G20*102.7%</f>
        <v>22342.590400000005</v>
      </c>
      <c r="I20" s="21">
        <f>H20*102.9%</f>
        <v>22990.525521600008</v>
      </c>
      <c r="J20" s="21">
        <f>I20*102.2%</f>
        <v>23496.31708307521</v>
      </c>
      <c r="K20" s="21">
        <f>SUM(E20:J20)</f>
        <v>134095.03300467524</v>
      </c>
    </row>
    <row r="21" spans="1:11" x14ac:dyDescent="0.25">
      <c r="A21" s="73"/>
      <c r="B21" s="75"/>
      <c r="C21" s="78"/>
      <c r="D21" s="29" t="s">
        <v>27</v>
      </c>
      <c r="E21" s="21">
        <v>73500</v>
      </c>
      <c r="F21" s="21">
        <v>74500</v>
      </c>
      <c r="G21" s="21">
        <v>75500</v>
      </c>
      <c r="H21" s="21">
        <v>76500</v>
      </c>
      <c r="I21" s="21">
        <v>77500</v>
      </c>
      <c r="J21" s="21">
        <v>78500</v>
      </c>
      <c r="K21" s="21">
        <f>SUM(E21:J21)</f>
        <v>456000</v>
      </c>
    </row>
    <row r="22" spans="1:11" x14ac:dyDescent="0.25">
      <c r="A22" s="68">
        <v>3</v>
      </c>
      <c r="B22" s="69" t="s">
        <v>31</v>
      </c>
      <c r="C22" s="67" t="s">
        <v>23</v>
      </c>
      <c r="D22" s="20" t="s">
        <v>20</v>
      </c>
      <c r="E22" s="21">
        <f t="shared" ref="E22:J22" si="2">E23+E24+E25+E26</f>
        <v>7396.0599999999995</v>
      </c>
      <c r="F22" s="21">
        <f t="shared" si="2"/>
        <v>3485.1</v>
      </c>
      <c r="G22" s="21">
        <f t="shared" si="2"/>
        <v>3112.0694999999996</v>
      </c>
      <c r="H22" s="21">
        <f t="shared" si="2"/>
        <v>3199.7453765</v>
      </c>
      <c r="I22" s="21">
        <f t="shared" si="2"/>
        <v>3295.9429924185006</v>
      </c>
      <c r="J22" s="21">
        <f t="shared" si="2"/>
        <v>3372.1337382517077</v>
      </c>
      <c r="K22" s="21">
        <f>K23+K24+K25+K26</f>
        <v>23861.051607170211</v>
      </c>
    </row>
    <row r="23" spans="1:11" x14ac:dyDescent="0.25">
      <c r="A23" s="68"/>
      <c r="B23" s="69"/>
      <c r="C23" s="67"/>
      <c r="D23" s="20" t="s">
        <v>24</v>
      </c>
      <c r="E23" s="21">
        <v>0</v>
      </c>
      <c r="F23" s="21">
        <v>0</v>
      </c>
      <c r="G23" s="21">
        <v>0</v>
      </c>
      <c r="H23" s="21">
        <v>0</v>
      </c>
      <c r="I23" s="21">
        <v>0</v>
      </c>
      <c r="J23" s="21">
        <v>0</v>
      </c>
      <c r="K23" s="21">
        <f>SUM(E23:J23)</f>
        <v>0</v>
      </c>
    </row>
    <row r="24" spans="1:11" x14ac:dyDescent="0.25">
      <c r="A24" s="68"/>
      <c r="B24" s="69"/>
      <c r="C24" s="67"/>
      <c r="D24" s="20" t="s">
        <v>25</v>
      </c>
      <c r="E24" s="21">
        <v>331.4</v>
      </c>
      <c r="F24" s="21">
        <v>331.4</v>
      </c>
      <c r="G24" s="21">
        <v>0</v>
      </c>
      <c r="H24" s="21">
        <v>0</v>
      </c>
      <c r="I24" s="21">
        <v>0</v>
      </c>
      <c r="J24" s="21">
        <f>I24</f>
        <v>0</v>
      </c>
      <c r="K24" s="21">
        <f>SUM(E24:J24)</f>
        <v>662.8</v>
      </c>
    </row>
    <row r="25" spans="1:11" x14ac:dyDescent="0.25">
      <c r="A25" s="68"/>
      <c r="B25" s="69"/>
      <c r="C25" s="67"/>
      <c r="D25" s="20" t="s">
        <v>26</v>
      </c>
      <c r="E25" s="40">
        <v>7024.66</v>
      </c>
      <c r="F25" s="40">
        <v>3108.7</v>
      </c>
      <c r="G25" s="40">
        <f>F25*98.5%</f>
        <v>3062.0694999999996</v>
      </c>
      <c r="H25" s="40">
        <f>G25*102.7%</f>
        <v>3144.7453765</v>
      </c>
      <c r="I25" s="40">
        <f>H25*102.9%</f>
        <v>3235.9429924185006</v>
      </c>
      <c r="J25" s="40">
        <f>I25*102.2%</f>
        <v>3307.1337382517077</v>
      </c>
      <c r="K25" s="21">
        <f>SUM(E25:J25)</f>
        <v>22883.251607170212</v>
      </c>
    </row>
    <row r="26" spans="1:11" x14ac:dyDescent="0.25">
      <c r="A26" s="68"/>
      <c r="B26" s="69"/>
      <c r="C26" s="67"/>
      <c r="D26" s="20" t="s">
        <v>27</v>
      </c>
      <c r="E26" s="21">
        <v>40</v>
      </c>
      <c r="F26" s="21">
        <v>45</v>
      </c>
      <c r="G26" s="21">
        <v>50</v>
      </c>
      <c r="H26" s="21">
        <v>55</v>
      </c>
      <c r="I26" s="21">
        <v>60</v>
      </c>
      <c r="J26" s="21">
        <v>65</v>
      </c>
      <c r="K26" s="21">
        <f>SUM(E26:J26)</f>
        <v>315</v>
      </c>
    </row>
    <row r="27" spans="1:11" x14ac:dyDescent="0.25">
      <c r="A27" s="79" t="s">
        <v>56</v>
      </c>
      <c r="B27" s="69" t="s">
        <v>32</v>
      </c>
      <c r="C27" s="67" t="s">
        <v>23</v>
      </c>
      <c r="D27" s="20" t="s">
        <v>20</v>
      </c>
      <c r="E27" s="21">
        <f t="shared" ref="E27:J27" si="3">E28+E29+E30+E31</f>
        <v>6400</v>
      </c>
      <c r="F27" s="21">
        <f t="shared" si="3"/>
        <v>6400</v>
      </c>
      <c r="G27" s="21">
        <f t="shared" si="3"/>
        <v>6400</v>
      </c>
      <c r="H27" s="21">
        <f t="shared" si="3"/>
        <v>6572.8000000000011</v>
      </c>
      <c r="I27" s="21">
        <f t="shared" si="3"/>
        <v>6763.4112000000023</v>
      </c>
      <c r="J27" s="21">
        <f t="shared" si="3"/>
        <v>6912.2062464000028</v>
      </c>
      <c r="K27" s="21">
        <f>K28+K29+K30+K31</f>
        <v>39448.41744640001</v>
      </c>
    </row>
    <row r="28" spans="1:11" x14ac:dyDescent="0.25">
      <c r="A28" s="79"/>
      <c r="B28" s="69"/>
      <c r="C28" s="67"/>
      <c r="D28" s="20" t="s">
        <v>24</v>
      </c>
      <c r="E28" s="21">
        <v>0</v>
      </c>
      <c r="F28" s="21">
        <v>0</v>
      </c>
      <c r="G28" s="21">
        <v>0</v>
      </c>
      <c r="H28" s="21">
        <v>0</v>
      </c>
      <c r="I28" s="21">
        <v>0</v>
      </c>
      <c r="J28" s="21">
        <v>0</v>
      </c>
      <c r="K28" s="21">
        <f>SUM(E28:J28)</f>
        <v>0</v>
      </c>
    </row>
    <row r="29" spans="1:11" x14ac:dyDescent="0.25">
      <c r="A29" s="79"/>
      <c r="B29" s="69"/>
      <c r="C29" s="67"/>
      <c r="D29" s="20" t="s">
        <v>25</v>
      </c>
      <c r="E29" s="21">
        <v>0</v>
      </c>
      <c r="F29" s="21">
        <v>0</v>
      </c>
      <c r="G29" s="21">
        <v>0</v>
      </c>
      <c r="H29" s="21">
        <v>0</v>
      </c>
      <c r="I29" s="21">
        <v>0</v>
      </c>
      <c r="J29" s="21">
        <v>0</v>
      </c>
      <c r="K29" s="21">
        <f>SUM(E29:J29)</f>
        <v>0</v>
      </c>
    </row>
    <row r="30" spans="1:11" x14ac:dyDescent="0.25">
      <c r="A30" s="79"/>
      <c r="B30" s="69"/>
      <c r="C30" s="67"/>
      <c r="D30" s="20" t="s">
        <v>26</v>
      </c>
      <c r="E30" s="21">
        <v>6400</v>
      </c>
      <c r="F30" s="21">
        <v>6400</v>
      </c>
      <c r="G30" s="21">
        <v>6400</v>
      </c>
      <c r="H30" s="21">
        <f>G30*102.7%</f>
        <v>6572.8000000000011</v>
      </c>
      <c r="I30" s="21">
        <f>H30*102.9%</f>
        <v>6763.4112000000023</v>
      </c>
      <c r="J30" s="21">
        <f>I30*102.2%</f>
        <v>6912.2062464000028</v>
      </c>
      <c r="K30" s="21">
        <f>SUM(E30:J30)</f>
        <v>39448.41744640001</v>
      </c>
    </row>
    <row r="31" spans="1:11" x14ac:dyDescent="0.25">
      <c r="A31" s="79"/>
      <c r="B31" s="69"/>
      <c r="C31" s="67"/>
      <c r="D31" s="20" t="s">
        <v>27</v>
      </c>
      <c r="E31" s="21">
        <v>0</v>
      </c>
      <c r="F31" s="21">
        <v>0</v>
      </c>
      <c r="G31" s="21">
        <v>0</v>
      </c>
      <c r="H31" s="21">
        <v>0</v>
      </c>
      <c r="I31" s="21">
        <v>0</v>
      </c>
      <c r="J31" s="21">
        <v>0</v>
      </c>
      <c r="K31" s="21">
        <f>SUM(E31:J31)</f>
        <v>0</v>
      </c>
    </row>
    <row r="32" spans="1:11" x14ac:dyDescent="0.25">
      <c r="A32" s="79" t="s">
        <v>57</v>
      </c>
      <c r="B32" s="69" t="s">
        <v>62</v>
      </c>
      <c r="C32" s="67" t="s">
        <v>23</v>
      </c>
      <c r="D32" s="20" t="s">
        <v>20</v>
      </c>
      <c r="E32" s="21">
        <f t="shared" ref="E32:J32" si="4">E35+E36</f>
        <v>2300</v>
      </c>
      <c r="F32" s="21">
        <f t="shared" si="4"/>
        <v>2300</v>
      </c>
      <c r="G32" s="21">
        <f t="shared" si="4"/>
        <v>2300</v>
      </c>
      <c r="H32" s="21">
        <f t="shared" si="4"/>
        <v>2362.1000000000004</v>
      </c>
      <c r="I32" s="21">
        <f t="shared" si="4"/>
        <v>2430.6009000000008</v>
      </c>
      <c r="J32" s="21">
        <f t="shared" si="4"/>
        <v>2484.074119800001</v>
      </c>
      <c r="K32" s="21">
        <f>SUM(E32:J32)</f>
        <v>14176.775019800003</v>
      </c>
    </row>
    <row r="33" spans="1:11" x14ac:dyDescent="0.25">
      <c r="A33" s="79"/>
      <c r="B33" s="69"/>
      <c r="C33" s="67"/>
      <c r="D33" s="20" t="s">
        <v>24</v>
      </c>
      <c r="E33" s="21">
        <v>0</v>
      </c>
      <c r="F33" s="21">
        <v>0</v>
      </c>
      <c r="G33" s="21">
        <v>0</v>
      </c>
      <c r="H33" s="21">
        <v>0</v>
      </c>
      <c r="I33" s="21">
        <v>0</v>
      </c>
      <c r="J33" s="21">
        <v>0</v>
      </c>
      <c r="K33" s="21">
        <v>0</v>
      </c>
    </row>
    <row r="34" spans="1:11" x14ac:dyDescent="0.25">
      <c r="A34" s="79"/>
      <c r="B34" s="69"/>
      <c r="C34" s="67"/>
      <c r="D34" s="20" t="s">
        <v>25</v>
      </c>
      <c r="E34" s="21">
        <v>0</v>
      </c>
      <c r="F34" s="21">
        <v>0</v>
      </c>
      <c r="G34" s="21">
        <v>0</v>
      </c>
      <c r="H34" s="21">
        <v>0</v>
      </c>
      <c r="I34" s="21">
        <v>0</v>
      </c>
      <c r="J34" s="21">
        <v>0</v>
      </c>
      <c r="K34" s="21">
        <v>0</v>
      </c>
    </row>
    <row r="35" spans="1:11" x14ac:dyDescent="0.25">
      <c r="A35" s="79"/>
      <c r="B35" s="69"/>
      <c r="C35" s="67"/>
      <c r="D35" s="20" t="s">
        <v>26</v>
      </c>
      <c r="E35" s="21">
        <v>2300</v>
      </c>
      <c r="F35" s="21">
        <v>2300</v>
      </c>
      <c r="G35" s="21">
        <v>2300</v>
      </c>
      <c r="H35" s="21">
        <f>G35*102.7%</f>
        <v>2362.1000000000004</v>
      </c>
      <c r="I35" s="21">
        <f>H35*102.9%</f>
        <v>2430.6009000000008</v>
      </c>
      <c r="J35" s="21">
        <f>I35*102.2%</f>
        <v>2484.074119800001</v>
      </c>
      <c r="K35" s="21">
        <f>SUM(E35:J35)</f>
        <v>14176.775019800003</v>
      </c>
    </row>
    <row r="36" spans="1:11" x14ac:dyDescent="0.25">
      <c r="A36" s="79"/>
      <c r="B36" s="69"/>
      <c r="C36" s="67"/>
      <c r="D36" s="20" t="s">
        <v>27</v>
      </c>
      <c r="E36" s="21">
        <v>0</v>
      </c>
      <c r="F36" s="21">
        <v>0</v>
      </c>
      <c r="G36" s="21">
        <v>0</v>
      </c>
      <c r="H36" s="21">
        <v>0</v>
      </c>
      <c r="I36" s="21">
        <v>0</v>
      </c>
      <c r="J36" s="21">
        <v>0</v>
      </c>
      <c r="K36" s="21">
        <f>E36+F36+G36+H36+I36+J36</f>
        <v>0</v>
      </c>
    </row>
    <row r="37" spans="1:11" x14ac:dyDescent="0.25">
      <c r="A37" s="79" t="s">
        <v>58</v>
      </c>
      <c r="B37" s="69" t="s">
        <v>34</v>
      </c>
      <c r="C37" s="67" t="s">
        <v>23</v>
      </c>
      <c r="D37" s="20" t="s">
        <v>20</v>
      </c>
      <c r="E37" s="21">
        <f t="shared" ref="E37:J37" si="5">E38+E39+E40+E41</f>
        <v>16500</v>
      </c>
      <c r="F37" s="21">
        <f t="shared" si="5"/>
        <v>16500</v>
      </c>
      <c r="G37" s="21">
        <f t="shared" si="5"/>
        <v>16500</v>
      </c>
      <c r="H37" s="21">
        <f t="shared" si="5"/>
        <v>16945.500000000004</v>
      </c>
      <c r="I37" s="21">
        <f t="shared" si="5"/>
        <v>17436.919500000007</v>
      </c>
      <c r="J37" s="21">
        <f t="shared" si="5"/>
        <v>17820.531729000009</v>
      </c>
      <c r="K37" s="21">
        <f>K38+K39+K40+K41</f>
        <v>101702.95122900001</v>
      </c>
    </row>
    <row r="38" spans="1:11" x14ac:dyDescent="0.25">
      <c r="A38" s="79"/>
      <c r="B38" s="69"/>
      <c r="C38" s="67"/>
      <c r="D38" s="20" t="s">
        <v>24</v>
      </c>
      <c r="E38" s="21">
        <v>0</v>
      </c>
      <c r="F38" s="21">
        <v>0</v>
      </c>
      <c r="G38" s="21">
        <v>0</v>
      </c>
      <c r="H38" s="21">
        <v>0</v>
      </c>
      <c r="I38" s="21">
        <v>0</v>
      </c>
      <c r="J38" s="21">
        <v>0</v>
      </c>
      <c r="K38" s="21">
        <f>SUM(E38:J38)</f>
        <v>0</v>
      </c>
    </row>
    <row r="39" spans="1:11" x14ac:dyDescent="0.25">
      <c r="A39" s="79"/>
      <c r="B39" s="69"/>
      <c r="C39" s="67"/>
      <c r="D39" s="20" t="s">
        <v>25</v>
      </c>
      <c r="E39" s="21">
        <v>0</v>
      </c>
      <c r="F39" s="21">
        <v>0</v>
      </c>
      <c r="G39" s="21">
        <v>0</v>
      </c>
      <c r="H39" s="21">
        <v>0</v>
      </c>
      <c r="I39" s="21">
        <v>0</v>
      </c>
      <c r="J39" s="21">
        <v>0</v>
      </c>
      <c r="K39" s="21">
        <f>SUM(E39:J39)</f>
        <v>0</v>
      </c>
    </row>
    <row r="40" spans="1:11" x14ac:dyDescent="0.25">
      <c r="A40" s="79"/>
      <c r="B40" s="69"/>
      <c r="C40" s="67"/>
      <c r="D40" s="20" t="s">
        <v>26</v>
      </c>
      <c r="E40" s="21">
        <v>16500</v>
      </c>
      <c r="F40" s="21">
        <v>16500</v>
      </c>
      <c r="G40" s="21">
        <v>16500</v>
      </c>
      <c r="H40" s="21">
        <f>G40*102.7%</f>
        <v>16945.500000000004</v>
      </c>
      <c r="I40" s="21">
        <f>H40*102.9%</f>
        <v>17436.919500000007</v>
      </c>
      <c r="J40" s="21">
        <f>I40*102.2%</f>
        <v>17820.531729000009</v>
      </c>
      <c r="K40" s="21">
        <f>SUM(E40:J40)</f>
        <v>101702.95122900001</v>
      </c>
    </row>
    <row r="41" spans="1:11" x14ac:dyDescent="0.25">
      <c r="A41" s="79"/>
      <c r="B41" s="69"/>
      <c r="C41" s="67"/>
      <c r="D41" s="20" t="s">
        <v>27</v>
      </c>
      <c r="E41" s="21">
        <v>0</v>
      </c>
      <c r="F41" s="21">
        <v>0</v>
      </c>
      <c r="G41" s="21">
        <v>0</v>
      </c>
      <c r="H41" s="21">
        <v>0</v>
      </c>
      <c r="I41" s="21">
        <v>0</v>
      </c>
      <c r="J41" s="21">
        <v>0</v>
      </c>
      <c r="K41" s="21">
        <f>SUM(E41:J41)</f>
        <v>0</v>
      </c>
    </row>
    <row r="42" spans="1:11" x14ac:dyDescent="0.25">
      <c r="A42" s="79" t="s">
        <v>59</v>
      </c>
      <c r="B42" s="69" t="s">
        <v>35</v>
      </c>
      <c r="C42" s="67" t="s">
        <v>23</v>
      </c>
      <c r="D42" s="20" t="s">
        <v>20</v>
      </c>
      <c r="E42" s="21">
        <f t="shared" ref="E42:J42" si="6">E43+E44+E45+E46</f>
        <v>1800</v>
      </c>
      <c r="F42" s="21">
        <f t="shared" si="6"/>
        <v>1800</v>
      </c>
      <c r="G42" s="21">
        <f t="shared" si="6"/>
        <v>1800</v>
      </c>
      <c r="H42" s="21">
        <f t="shared" si="6"/>
        <v>1800</v>
      </c>
      <c r="I42" s="21">
        <f t="shared" si="6"/>
        <v>1800</v>
      </c>
      <c r="J42" s="21">
        <f t="shared" si="6"/>
        <v>1800</v>
      </c>
      <c r="K42" s="21">
        <f>K43+K44+K45+K46</f>
        <v>10800</v>
      </c>
    </row>
    <row r="43" spans="1:11" x14ac:dyDescent="0.25">
      <c r="A43" s="79"/>
      <c r="B43" s="69"/>
      <c r="C43" s="67"/>
      <c r="D43" s="20" t="s">
        <v>24</v>
      </c>
      <c r="E43" s="21">
        <v>0</v>
      </c>
      <c r="F43" s="21">
        <v>0</v>
      </c>
      <c r="G43" s="21">
        <v>0</v>
      </c>
      <c r="H43" s="21">
        <v>0</v>
      </c>
      <c r="I43" s="21">
        <v>0</v>
      </c>
      <c r="J43" s="21">
        <v>0</v>
      </c>
      <c r="K43" s="21">
        <f>SUM(E43:J43)</f>
        <v>0</v>
      </c>
    </row>
    <row r="44" spans="1:11" x14ac:dyDescent="0.25">
      <c r="A44" s="79"/>
      <c r="B44" s="69"/>
      <c r="C44" s="67"/>
      <c r="D44" s="20" t="s">
        <v>25</v>
      </c>
      <c r="E44" s="21">
        <v>0</v>
      </c>
      <c r="F44" s="21">
        <v>0</v>
      </c>
      <c r="G44" s="21">
        <v>0</v>
      </c>
      <c r="H44" s="21">
        <v>0</v>
      </c>
      <c r="I44" s="21">
        <v>0</v>
      </c>
      <c r="J44" s="21">
        <v>0</v>
      </c>
      <c r="K44" s="21">
        <f>SUM(E44:J44)</f>
        <v>0</v>
      </c>
    </row>
    <row r="45" spans="1:11" x14ac:dyDescent="0.25">
      <c r="A45" s="79"/>
      <c r="B45" s="69"/>
      <c r="C45" s="67"/>
      <c r="D45" s="20" t="s">
        <v>26</v>
      </c>
      <c r="E45" s="21">
        <v>1800</v>
      </c>
      <c r="F45" s="21">
        <v>1800</v>
      </c>
      <c r="G45" s="21">
        <v>1800</v>
      </c>
      <c r="H45" s="21">
        <v>1800</v>
      </c>
      <c r="I45" s="21">
        <v>1800</v>
      </c>
      <c r="J45" s="21">
        <v>1800</v>
      </c>
      <c r="K45" s="21">
        <f>SUM(E45:J45)</f>
        <v>10800</v>
      </c>
    </row>
    <row r="46" spans="1:11" x14ac:dyDescent="0.25">
      <c r="A46" s="79"/>
      <c r="B46" s="69"/>
      <c r="C46" s="67"/>
      <c r="D46" s="20" t="s">
        <v>27</v>
      </c>
      <c r="E46" s="21">
        <v>0</v>
      </c>
      <c r="F46" s="21">
        <v>0</v>
      </c>
      <c r="G46" s="21">
        <v>0</v>
      </c>
      <c r="H46" s="21">
        <v>0</v>
      </c>
      <c r="I46" s="21">
        <v>0</v>
      </c>
      <c r="J46" s="21">
        <v>0</v>
      </c>
      <c r="K46" s="21">
        <f>SUM(E46:J46)</f>
        <v>0</v>
      </c>
    </row>
    <row r="47" spans="1:11" x14ac:dyDescent="0.25">
      <c r="A47" s="79" t="s">
        <v>60</v>
      </c>
      <c r="B47" s="80" t="s">
        <v>63</v>
      </c>
      <c r="C47" s="67" t="s">
        <v>23</v>
      </c>
      <c r="D47" s="20" t="s">
        <v>20</v>
      </c>
      <c r="E47" s="21">
        <f t="shared" ref="E47:J47" si="7">E48+E49+E50+E51</f>
        <v>89753.89</v>
      </c>
      <c r="F47" s="21">
        <f t="shared" si="7"/>
        <v>72328.310000000012</v>
      </c>
      <c r="G47" s="21">
        <f t="shared" si="7"/>
        <v>69439.806250000009</v>
      </c>
      <c r="H47" s="21">
        <f t="shared" si="7"/>
        <v>71500.318317550016</v>
      </c>
      <c r="I47" s="21">
        <f t="shared" si="7"/>
        <v>73734.558509969982</v>
      </c>
      <c r="J47" s="21">
        <f t="shared" si="7"/>
        <v>75640.617893976305</v>
      </c>
      <c r="K47" s="21">
        <f>K48+K49+K50+K51</f>
        <v>452397.50097149634</v>
      </c>
    </row>
    <row r="48" spans="1:11" x14ac:dyDescent="0.25">
      <c r="A48" s="79"/>
      <c r="B48" s="81"/>
      <c r="C48" s="67"/>
      <c r="D48" s="20" t="s">
        <v>24</v>
      </c>
      <c r="E48" s="21">
        <v>0</v>
      </c>
      <c r="F48" s="21">
        <v>0</v>
      </c>
      <c r="G48" s="21">
        <v>0</v>
      </c>
      <c r="H48" s="21">
        <v>0</v>
      </c>
      <c r="I48" s="21">
        <v>0</v>
      </c>
      <c r="J48" s="21">
        <v>0</v>
      </c>
      <c r="K48" s="21">
        <f>SUM(E48:J48)</f>
        <v>0</v>
      </c>
    </row>
    <row r="49" spans="1:11" x14ac:dyDescent="0.25">
      <c r="A49" s="79"/>
      <c r="B49" s="81"/>
      <c r="C49" s="67"/>
      <c r="D49" s="20" t="s">
        <v>25</v>
      </c>
      <c r="E49" s="21">
        <v>2647.3</v>
      </c>
      <c r="F49" s="21">
        <v>2647.3</v>
      </c>
      <c r="G49" s="21">
        <v>0</v>
      </c>
      <c r="H49" s="21">
        <v>0</v>
      </c>
      <c r="I49" s="21">
        <v>0</v>
      </c>
      <c r="J49" s="21">
        <f>I49</f>
        <v>0</v>
      </c>
      <c r="K49" s="21">
        <f>SUM(E49:J49)</f>
        <v>5294.6</v>
      </c>
    </row>
    <row r="50" spans="1:11" x14ac:dyDescent="0.25">
      <c r="A50" s="79"/>
      <c r="B50" s="81"/>
      <c r="C50" s="67"/>
      <c r="D50" s="20" t="s">
        <v>26</v>
      </c>
      <c r="E50" s="40">
        <v>72776.39</v>
      </c>
      <c r="F50" s="40">
        <v>54791.91</v>
      </c>
      <c r="G50" s="40">
        <f>F50*98.5%</f>
        <v>53970.031350000005</v>
      </c>
      <c r="H50" s="40">
        <f>G50*102.7%</f>
        <v>55427.222196450013</v>
      </c>
      <c r="I50" s="40">
        <f>H50*102.9%</f>
        <v>57034.611640147072</v>
      </c>
      <c r="J50" s="40">
        <f>I50*102.2%</f>
        <v>58289.373096230309</v>
      </c>
      <c r="K50" s="40">
        <f>SUM(E50:J50)</f>
        <v>352289.53828282742</v>
      </c>
    </row>
    <row r="51" spans="1:11" x14ac:dyDescent="0.25">
      <c r="A51" s="79"/>
      <c r="B51" s="82"/>
      <c r="C51" s="67"/>
      <c r="D51" s="20" t="s">
        <v>27</v>
      </c>
      <c r="E51" s="21">
        <v>14330.2</v>
      </c>
      <c r="F51" s="21">
        <v>14889.1</v>
      </c>
      <c r="G51" s="21">
        <f>F51*103.9%</f>
        <v>15469.774900000002</v>
      </c>
      <c r="H51" s="21">
        <f>G51*103.9%</f>
        <v>16073.096121100005</v>
      </c>
      <c r="I51" s="21">
        <f>H51*103.9%</f>
        <v>16699.946869822907</v>
      </c>
      <c r="J51" s="21">
        <f>I51*103.9%</f>
        <v>17351.244797746003</v>
      </c>
      <c r="K51" s="21">
        <f>SUM(E51:J51)</f>
        <v>94813.362688668916</v>
      </c>
    </row>
    <row r="52" spans="1:11" x14ac:dyDescent="0.25">
      <c r="A52" s="90" t="s">
        <v>61</v>
      </c>
      <c r="B52" s="80" t="s">
        <v>64</v>
      </c>
      <c r="C52" s="67" t="s">
        <v>23</v>
      </c>
      <c r="D52" s="20" t="s">
        <v>20</v>
      </c>
      <c r="E52" s="21">
        <f t="shared" ref="E52:K52" si="8">E53+E54+E55+E56</f>
        <v>0</v>
      </c>
      <c r="F52" s="21">
        <f t="shared" si="8"/>
        <v>0</v>
      </c>
      <c r="G52" s="21">
        <f t="shared" si="8"/>
        <v>0</v>
      </c>
      <c r="H52" s="21">
        <f t="shared" si="8"/>
        <v>0</v>
      </c>
      <c r="I52" s="21">
        <f t="shared" si="8"/>
        <v>0</v>
      </c>
      <c r="J52" s="21">
        <f t="shared" si="8"/>
        <v>0</v>
      </c>
      <c r="K52" s="21">
        <f t="shared" si="8"/>
        <v>0</v>
      </c>
    </row>
    <row r="53" spans="1:11" x14ac:dyDescent="0.25">
      <c r="A53" s="91"/>
      <c r="B53" s="81"/>
      <c r="C53" s="67"/>
      <c r="D53" s="20" t="s">
        <v>24</v>
      </c>
      <c r="E53" s="21">
        <v>0</v>
      </c>
      <c r="F53" s="21">
        <v>0</v>
      </c>
      <c r="G53" s="21">
        <v>0</v>
      </c>
      <c r="H53" s="21">
        <v>0</v>
      </c>
      <c r="I53" s="21">
        <v>0</v>
      </c>
      <c r="J53" s="21">
        <v>0</v>
      </c>
      <c r="K53" s="21">
        <f t="shared" ref="K53:K56" si="9">SUM(E53:J53)</f>
        <v>0</v>
      </c>
    </row>
    <row r="54" spans="1:11" x14ac:dyDescent="0.25">
      <c r="A54" s="91"/>
      <c r="B54" s="81"/>
      <c r="C54" s="67"/>
      <c r="D54" s="20" t="s">
        <v>25</v>
      </c>
      <c r="E54" s="21">
        <v>0</v>
      </c>
      <c r="F54" s="21">
        <v>0</v>
      </c>
      <c r="G54" s="21">
        <v>0</v>
      </c>
      <c r="H54" s="21">
        <v>0</v>
      </c>
      <c r="I54" s="21">
        <v>0</v>
      </c>
      <c r="J54" s="21">
        <v>0</v>
      </c>
      <c r="K54" s="21">
        <f t="shared" si="9"/>
        <v>0</v>
      </c>
    </row>
    <row r="55" spans="1:11" x14ac:dyDescent="0.25">
      <c r="A55" s="91"/>
      <c r="B55" s="81"/>
      <c r="C55" s="67"/>
      <c r="D55" s="20" t="s">
        <v>26</v>
      </c>
      <c r="E55" s="21">
        <v>0</v>
      </c>
      <c r="F55" s="21">
        <v>0</v>
      </c>
      <c r="G55" s="21">
        <v>0</v>
      </c>
      <c r="H55" s="21">
        <v>0</v>
      </c>
      <c r="I55" s="21">
        <v>0</v>
      </c>
      <c r="J55" s="21">
        <v>0</v>
      </c>
      <c r="K55" s="21">
        <f t="shared" si="9"/>
        <v>0</v>
      </c>
    </row>
    <row r="56" spans="1:11" x14ac:dyDescent="0.25">
      <c r="A56" s="92"/>
      <c r="B56" s="82"/>
      <c r="C56" s="67"/>
      <c r="D56" s="20" t="s">
        <v>27</v>
      </c>
      <c r="E56" s="21">
        <v>0</v>
      </c>
      <c r="F56" s="21">
        <v>0</v>
      </c>
      <c r="G56" s="21">
        <v>0</v>
      </c>
      <c r="H56" s="21">
        <v>0</v>
      </c>
      <c r="I56" s="21">
        <v>0</v>
      </c>
      <c r="J56" s="21">
        <v>0</v>
      </c>
      <c r="K56" s="21">
        <f t="shared" si="9"/>
        <v>0</v>
      </c>
    </row>
    <row r="57" spans="1:11" x14ac:dyDescent="0.25">
      <c r="A57" s="67"/>
      <c r="B57" s="67"/>
      <c r="C57" s="67" t="s">
        <v>37</v>
      </c>
      <c r="D57" s="29" t="s">
        <v>20</v>
      </c>
      <c r="E57" s="21">
        <f>E12+E17+E22+E27+E32+E37+E42+E47+E52</f>
        <v>234935.89</v>
      </c>
      <c r="F57" s="21">
        <f>F12+F17+F22+F27+F32+F37+F42+F47+F52</f>
        <v>214689.55</v>
      </c>
      <c r="G57" s="21">
        <f t="shared" ref="E57:J61" si="10">G12+G17+G22+G27+G32+G37+G42+G47</f>
        <v>211017.66795000003</v>
      </c>
      <c r="H57" s="21">
        <f>H12+H17+H22+H27+H32+H37+H42+H47+H52</f>
        <v>215854.67335225001</v>
      </c>
      <c r="I57" s="21">
        <f>I12+I17+I22+I27+I32+I37+I42+I47+I52</f>
        <v>221041.9732335899</v>
      </c>
      <c r="J57" s="21">
        <f>J12+J17+J22+J27+J32+J37+J42+J47+J52</f>
        <v>225501.19138722919</v>
      </c>
      <c r="K57" s="21">
        <f t="shared" ref="K57:K61" si="11">SUM(E57:J57)</f>
        <v>1323040.945923069</v>
      </c>
    </row>
    <row r="58" spans="1:11" x14ac:dyDescent="0.25">
      <c r="A58" s="67"/>
      <c r="B58" s="67"/>
      <c r="C58" s="67"/>
      <c r="D58" s="29" t="s">
        <v>24</v>
      </c>
      <c r="E58" s="21">
        <f t="shared" si="10"/>
        <v>0</v>
      </c>
      <c r="F58" s="21">
        <f t="shared" si="10"/>
        <v>0</v>
      </c>
      <c r="G58" s="21">
        <f t="shared" si="10"/>
        <v>0</v>
      </c>
      <c r="H58" s="21">
        <f t="shared" si="10"/>
        <v>0</v>
      </c>
      <c r="I58" s="21">
        <f t="shared" si="10"/>
        <v>0</v>
      </c>
      <c r="J58" s="21">
        <f t="shared" si="10"/>
        <v>0</v>
      </c>
      <c r="K58" s="21">
        <f t="shared" si="11"/>
        <v>0</v>
      </c>
    </row>
    <row r="59" spans="1:11" x14ac:dyDescent="0.25">
      <c r="A59" s="67"/>
      <c r="B59" s="67"/>
      <c r="C59" s="67"/>
      <c r="D59" s="29" t="s">
        <v>25</v>
      </c>
      <c r="E59" s="21">
        <f t="shared" si="10"/>
        <v>4304.3999999999996</v>
      </c>
      <c r="F59" s="21">
        <f t="shared" si="10"/>
        <v>4304.3999999999996</v>
      </c>
      <c r="G59" s="21">
        <f t="shared" si="10"/>
        <v>0</v>
      </c>
      <c r="H59" s="21">
        <f t="shared" si="10"/>
        <v>0</v>
      </c>
      <c r="I59" s="21">
        <f t="shared" si="10"/>
        <v>0</v>
      </c>
      <c r="J59" s="21">
        <f t="shared" si="10"/>
        <v>0</v>
      </c>
      <c r="K59" s="21">
        <f t="shared" si="11"/>
        <v>8608.7999999999993</v>
      </c>
    </row>
    <row r="60" spans="1:11" x14ac:dyDescent="0.25">
      <c r="A60" s="67"/>
      <c r="B60" s="67"/>
      <c r="C60" s="67"/>
      <c r="D60" s="29" t="s">
        <v>26</v>
      </c>
      <c r="E60" s="21">
        <f>E15+E20+E25+E55+E30+E35+E40+E45+E50</f>
        <v>140613.89000000001</v>
      </c>
      <c r="F60" s="21">
        <f t="shared" ref="F60:J60" si="12">F15+F20+F25+F55+F30+F35+F40+F45+F50</f>
        <v>118713.45</v>
      </c>
      <c r="G60" s="21">
        <f t="shared" si="12"/>
        <v>117664.07625</v>
      </c>
      <c r="H60" s="21">
        <f t="shared" si="12"/>
        <v>120792.40630875001</v>
      </c>
      <c r="I60" s="21">
        <f t="shared" si="12"/>
        <v>124243.1860917038</v>
      </c>
      <c r="J60" s="21">
        <f t="shared" si="12"/>
        <v>126936.93618572129</v>
      </c>
      <c r="K60" s="21">
        <f t="shared" si="11"/>
        <v>748963.94483617519</v>
      </c>
    </row>
    <row r="61" spans="1:11" x14ac:dyDescent="0.25">
      <c r="A61" s="67"/>
      <c r="B61" s="67"/>
      <c r="C61" s="67"/>
      <c r="D61" s="29" t="s">
        <v>27</v>
      </c>
      <c r="E61" s="21">
        <f t="shared" si="10"/>
        <v>90017.599999999991</v>
      </c>
      <c r="F61" s="21">
        <f t="shared" si="10"/>
        <v>91671.700000000012</v>
      </c>
      <c r="G61" s="21">
        <f t="shared" si="10"/>
        <v>93353.591700000004</v>
      </c>
      <c r="H61" s="21">
        <f t="shared" si="10"/>
        <v>95062.267043500004</v>
      </c>
      <c r="I61" s="21">
        <f t="shared" si="10"/>
        <v>96798.787141886103</v>
      </c>
      <c r="J61" s="21">
        <f t="shared" si="10"/>
        <v>98564.255201507913</v>
      </c>
      <c r="K61" s="21">
        <f t="shared" si="11"/>
        <v>565468.20108689403</v>
      </c>
    </row>
    <row r="63" spans="1:11" ht="16.5" x14ac:dyDescent="0.25">
      <c r="A63" s="89" t="s">
        <v>51</v>
      </c>
      <c r="B63" s="89"/>
      <c r="C63" s="89"/>
      <c r="D63" s="89"/>
      <c r="E63" s="89"/>
      <c r="F63" s="89"/>
      <c r="G63" s="89"/>
      <c r="H63" s="89"/>
      <c r="I63" s="89"/>
      <c r="J63" s="89"/>
      <c r="K63" s="89"/>
    </row>
    <row r="64" spans="1:11" ht="16.5" x14ac:dyDescent="0.25">
      <c r="A64" s="34" t="s">
        <v>52</v>
      </c>
      <c r="B64" s="35"/>
      <c r="C64" s="35"/>
      <c r="D64" s="35"/>
      <c r="E64" s="35"/>
      <c r="F64" s="35"/>
      <c r="G64" s="35"/>
      <c r="H64" s="36"/>
      <c r="I64" s="36"/>
      <c r="J64" s="37"/>
      <c r="K64" s="37"/>
    </row>
    <row r="65" spans="1:11" ht="16.5" x14ac:dyDescent="0.25">
      <c r="A65" s="34" t="s">
        <v>53</v>
      </c>
      <c r="B65" s="35"/>
      <c r="C65" s="35"/>
      <c r="D65" s="35"/>
      <c r="E65" s="35"/>
      <c r="F65" s="35"/>
      <c r="G65" s="35"/>
      <c r="H65" s="35"/>
      <c r="I65" s="35"/>
      <c r="J65" s="35"/>
      <c r="K65" s="35"/>
    </row>
    <row r="66" spans="1:11" ht="16.5" x14ac:dyDescent="0.25">
      <c r="A66" s="34" t="s">
        <v>54</v>
      </c>
      <c r="B66" s="35"/>
      <c r="C66" s="35"/>
      <c r="D66" s="35"/>
      <c r="E66" s="35"/>
      <c r="F66" s="35"/>
      <c r="G66" s="35"/>
      <c r="H66" s="35"/>
      <c r="I66" s="35"/>
      <c r="J66" s="35"/>
      <c r="K66" s="37"/>
    </row>
    <row r="67" spans="1:11" ht="16.5" x14ac:dyDescent="0.25">
      <c r="A67" s="34" t="s">
        <v>55</v>
      </c>
      <c r="B67" s="35"/>
      <c r="C67" s="35"/>
      <c r="D67" s="35"/>
      <c r="E67" s="35"/>
      <c r="F67" s="35"/>
      <c r="G67" s="35"/>
      <c r="H67" s="35"/>
      <c r="I67" s="35"/>
      <c r="J67" s="35"/>
      <c r="K67" s="35"/>
    </row>
  </sheetData>
  <mergeCells count="37">
    <mergeCell ref="A47:A51"/>
    <mergeCell ref="B47:B51"/>
    <mergeCell ref="C47:C51"/>
    <mergeCell ref="A57:B61"/>
    <mergeCell ref="C57:C61"/>
    <mergeCell ref="A52:A56"/>
    <mergeCell ref="B52:B56"/>
    <mergeCell ref="C52:C56"/>
    <mergeCell ref="A37:A41"/>
    <mergeCell ref="B37:B41"/>
    <mergeCell ref="C37:C41"/>
    <mergeCell ref="A42:A46"/>
    <mergeCell ref="B42:B46"/>
    <mergeCell ref="C42:C46"/>
    <mergeCell ref="C22:C26"/>
    <mergeCell ref="A27:A31"/>
    <mergeCell ref="B27:B31"/>
    <mergeCell ref="C27:C31"/>
    <mergeCell ref="A32:A36"/>
    <mergeCell ref="B32:B36"/>
    <mergeCell ref="C32:C36"/>
    <mergeCell ref="A63:K63"/>
    <mergeCell ref="A5:K5"/>
    <mergeCell ref="A6:K6"/>
    <mergeCell ref="A8:A10"/>
    <mergeCell ref="B8:B10"/>
    <mergeCell ref="C8:C10"/>
    <mergeCell ref="D8:D10"/>
    <mergeCell ref="E8:K9"/>
    <mergeCell ref="A12:A16"/>
    <mergeCell ref="B12:B16"/>
    <mergeCell ref="C12:C16"/>
    <mergeCell ref="A17:A21"/>
    <mergeCell ref="B17:B21"/>
    <mergeCell ref="C17:C21"/>
    <mergeCell ref="A22:A26"/>
    <mergeCell ref="B22:B26"/>
  </mergeCells>
  <pageMargins left="0.51181102362204722" right="0.31496062992125984" top="0.55118110236220474" bottom="0.19685039370078741" header="0" footer="0"/>
  <pageSetup paperSize="9" scale="66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48"/>
  <sheetViews>
    <sheetView tabSelected="1" topLeftCell="D1" zoomScale="120" zoomScaleNormal="120" zoomScaleSheetLayoutView="100" workbookViewId="0">
      <selection activeCell="K1" sqref="K1:M4"/>
    </sheetView>
  </sheetViews>
  <sheetFormatPr defaultRowHeight="15" x14ac:dyDescent="0.25"/>
  <cols>
    <col min="1" max="1" width="7.140625" customWidth="1"/>
    <col min="2" max="2" width="41.42578125" customWidth="1"/>
    <col min="3" max="3" width="14.5703125" customWidth="1"/>
    <col min="4" max="4" width="13.7109375" customWidth="1"/>
    <col min="5" max="5" width="12.7109375" customWidth="1"/>
    <col min="6" max="6" width="13" customWidth="1"/>
    <col min="7" max="8" width="12.5703125" style="51" customWidth="1"/>
    <col min="9" max="9" width="12.7109375" style="51" customWidth="1"/>
    <col min="10" max="10" width="12.42578125" style="51" customWidth="1"/>
    <col min="11" max="12" width="12.28515625" style="51" customWidth="1"/>
    <col min="13" max="13" width="13.28515625" style="51" customWidth="1"/>
    <col min="14" max="14" width="11.7109375" bestFit="1" customWidth="1"/>
    <col min="15" max="15" width="10.28515625" bestFit="1" customWidth="1"/>
  </cols>
  <sheetData>
    <row r="1" spans="1:13" ht="11.25" customHeight="1" x14ac:dyDescent="0.25">
      <c r="J1" s="59"/>
      <c r="K1" s="107" t="s">
        <v>87</v>
      </c>
      <c r="L1" s="107"/>
      <c r="M1" s="107"/>
    </row>
    <row r="2" spans="1:13" ht="12" customHeight="1" x14ac:dyDescent="0.25">
      <c r="I2" s="59"/>
      <c r="J2" s="59"/>
      <c r="K2" s="107"/>
      <c r="L2" s="107"/>
      <c r="M2" s="107"/>
    </row>
    <row r="3" spans="1:13" ht="11.25" customHeight="1" x14ac:dyDescent="0.25">
      <c r="I3" s="59"/>
      <c r="J3" s="59"/>
      <c r="K3" s="107"/>
      <c r="L3" s="107"/>
      <c r="M3" s="107"/>
    </row>
    <row r="4" spans="1:13" ht="16.5" customHeight="1" x14ac:dyDescent="0.25">
      <c r="I4" s="59"/>
      <c r="J4" s="59"/>
      <c r="K4" s="107"/>
      <c r="L4" s="107"/>
      <c r="M4" s="107"/>
    </row>
    <row r="5" spans="1:13" ht="19.5" customHeight="1" x14ac:dyDescent="0.25">
      <c r="B5" s="7"/>
      <c r="C5" s="7"/>
      <c r="D5" s="7"/>
      <c r="E5" s="7"/>
      <c r="F5" s="7"/>
      <c r="G5" s="52"/>
      <c r="H5" s="52"/>
      <c r="J5" s="60"/>
      <c r="K5" s="108" t="s">
        <v>78</v>
      </c>
      <c r="L5" s="108"/>
      <c r="M5" s="108"/>
    </row>
    <row r="6" spans="1:13" x14ac:dyDescent="0.25">
      <c r="B6" s="4"/>
      <c r="C6" s="4"/>
      <c r="D6" s="4"/>
      <c r="E6" s="4"/>
      <c r="F6" s="4"/>
      <c r="G6" s="53"/>
      <c r="H6" s="53"/>
      <c r="J6" s="60"/>
      <c r="K6" s="109" t="s">
        <v>72</v>
      </c>
      <c r="L6" s="109"/>
      <c r="M6" s="109"/>
    </row>
    <row r="7" spans="1:13" x14ac:dyDescent="0.25">
      <c r="B7" s="5"/>
      <c r="C7" s="13"/>
      <c r="D7" s="13"/>
      <c r="E7" s="13"/>
      <c r="F7" s="13"/>
      <c r="G7" s="54"/>
      <c r="H7" s="54"/>
      <c r="J7" s="60"/>
      <c r="K7" s="109" t="s">
        <v>73</v>
      </c>
      <c r="L7" s="109"/>
      <c r="M7" s="109"/>
    </row>
    <row r="8" spans="1:13" x14ac:dyDescent="0.25">
      <c r="B8" s="5"/>
      <c r="C8" s="13"/>
      <c r="D8" s="13"/>
      <c r="E8" s="13"/>
      <c r="F8" s="13"/>
      <c r="G8" s="54"/>
      <c r="H8" s="54"/>
      <c r="I8" s="61"/>
      <c r="J8" s="62"/>
      <c r="K8" s="62"/>
      <c r="L8" s="62"/>
      <c r="M8" s="61"/>
    </row>
    <row r="9" spans="1:13" x14ac:dyDescent="0.25">
      <c r="A9" s="66" t="s">
        <v>14</v>
      </c>
      <c r="B9" s="66"/>
      <c r="C9" s="66"/>
      <c r="D9" s="66"/>
      <c r="E9" s="66"/>
      <c r="F9" s="66"/>
      <c r="G9" s="66"/>
      <c r="H9" s="66"/>
      <c r="I9" s="66"/>
      <c r="J9" s="66"/>
      <c r="K9" s="66"/>
      <c r="L9" s="66"/>
      <c r="M9" s="66"/>
    </row>
    <row r="10" spans="1:13" x14ac:dyDescent="0.25">
      <c r="A10" s="66" t="s">
        <v>15</v>
      </c>
      <c r="B10" s="66"/>
      <c r="C10" s="66"/>
      <c r="D10" s="66"/>
      <c r="E10" s="66"/>
      <c r="F10" s="66"/>
      <c r="G10" s="66"/>
      <c r="H10" s="66"/>
      <c r="I10" s="66"/>
      <c r="J10" s="66"/>
      <c r="K10" s="66"/>
      <c r="L10" s="66"/>
      <c r="M10" s="66"/>
    </row>
    <row r="11" spans="1:13" x14ac:dyDescent="0.25">
      <c r="A11" s="17"/>
      <c r="B11" s="18"/>
      <c r="C11" s="18"/>
      <c r="D11" s="18"/>
      <c r="E11" s="18"/>
      <c r="F11" s="18"/>
      <c r="G11" s="30"/>
      <c r="H11" s="30"/>
      <c r="I11" s="30"/>
      <c r="J11" s="30"/>
      <c r="K11" s="30"/>
      <c r="L11" s="30"/>
      <c r="M11" s="63"/>
    </row>
    <row r="12" spans="1:13" ht="12.75" customHeight="1" x14ac:dyDescent="0.25">
      <c r="A12" s="67" t="s">
        <v>7</v>
      </c>
      <c r="B12" s="67" t="s">
        <v>16</v>
      </c>
      <c r="C12" s="67" t="s">
        <v>17</v>
      </c>
      <c r="D12" s="67" t="s">
        <v>18</v>
      </c>
      <c r="E12" s="84" t="s">
        <v>19</v>
      </c>
      <c r="F12" s="84"/>
      <c r="G12" s="84"/>
      <c r="H12" s="84"/>
      <c r="I12" s="84"/>
      <c r="J12" s="84"/>
      <c r="K12" s="84"/>
      <c r="L12" s="84"/>
      <c r="M12" s="85"/>
    </row>
    <row r="13" spans="1:13" ht="10.5" customHeight="1" x14ac:dyDescent="0.25">
      <c r="A13" s="67"/>
      <c r="B13" s="67"/>
      <c r="C13" s="67"/>
      <c r="D13" s="67"/>
      <c r="E13" s="87"/>
      <c r="F13" s="87"/>
      <c r="G13" s="87"/>
      <c r="H13" s="87"/>
      <c r="I13" s="87"/>
      <c r="J13" s="87"/>
      <c r="K13" s="87"/>
      <c r="L13" s="87"/>
      <c r="M13" s="88"/>
    </row>
    <row r="14" spans="1:13" ht="21" customHeight="1" x14ac:dyDescent="0.25">
      <c r="A14" s="67"/>
      <c r="B14" s="67"/>
      <c r="C14" s="67"/>
      <c r="D14" s="67"/>
      <c r="E14" s="47" t="s">
        <v>65</v>
      </c>
      <c r="F14" s="47" t="s">
        <v>0</v>
      </c>
      <c r="G14" s="20" t="s">
        <v>3</v>
      </c>
      <c r="H14" s="20" t="s">
        <v>4</v>
      </c>
      <c r="I14" s="20" t="s">
        <v>5</v>
      </c>
      <c r="J14" s="20" t="s">
        <v>6</v>
      </c>
      <c r="K14" s="20" t="s">
        <v>84</v>
      </c>
      <c r="L14" s="20" t="s">
        <v>85</v>
      </c>
      <c r="M14" s="20" t="s">
        <v>20</v>
      </c>
    </row>
    <row r="15" spans="1:13" ht="12" customHeight="1" x14ac:dyDescent="0.25">
      <c r="A15" s="26">
        <v>1</v>
      </c>
      <c r="B15" s="26">
        <v>2</v>
      </c>
      <c r="C15" s="26">
        <v>3</v>
      </c>
      <c r="D15" s="26">
        <v>4</v>
      </c>
      <c r="E15" s="48">
        <v>5</v>
      </c>
      <c r="F15" s="48">
        <v>6</v>
      </c>
      <c r="G15" s="55">
        <v>7</v>
      </c>
      <c r="H15" s="55">
        <v>8</v>
      </c>
      <c r="I15" s="55">
        <v>9</v>
      </c>
      <c r="J15" s="55">
        <v>10</v>
      </c>
      <c r="K15" s="55"/>
      <c r="L15" s="55"/>
      <c r="M15" s="55">
        <v>11</v>
      </c>
    </row>
    <row r="16" spans="1:13" x14ac:dyDescent="0.25">
      <c r="A16" s="70">
        <v>1</v>
      </c>
      <c r="B16" s="71" t="s">
        <v>22</v>
      </c>
      <c r="C16" s="67" t="s">
        <v>23</v>
      </c>
      <c r="D16" s="39" t="s">
        <v>20</v>
      </c>
      <c r="E16" s="21">
        <f t="shared" ref="E16:G16" si="0">SUM(E17:E20)</f>
        <v>10628.499999999998</v>
      </c>
      <c r="F16" s="21">
        <f>SUM(F17:F20)</f>
        <v>13464.099999999999</v>
      </c>
      <c r="G16" s="21">
        <f t="shared" si="0"/>
        <v>16392.5</v>
      </c>
      <c r="H16" s="21">
        <f t="shared" ref="H16:L16" si="1">SUM(H17:H20)</f>
        <v>21239.7</v>
      </c>
      <c r="I16" s="21">
        <f t="shared" si="1"/>
        <v>22276.400000000001</v>
      </c>
      <c r="J16" s="21">
        <f t="shared" si="1"/>
        <v>22321.4</v>
      </c>
      <c r="K16" s="21">
        <f t="shared" si="1"/>
        <v>22516.400000000001</v>
      </c>
      <c r="L16" s="21">
        <f t="shared" si="1"/>
        <v>19711.400000000001</v>
      </c>
      <c r="M16" s="21">
        <f>M17+M18+M19+M20</f>
        <v>148550.39999999999</v>
      </c>
    </row>
    <row r="17" spans="1:13" x14ac:dyDescent="0.25">
      <c r="A17" s="70"/>
      <c r="B17" s="71"/>
      <c r="C17" s="67"/>
      <c r="D17" s="39" t="s">
        <v>24</v>
      </c>
      <c r="E17" s="21">
        <v>0</v>
      </c>
      <c r="F17" s="21">
        <v>0</v>
      </c>
      <c r="G17" s="21">
        <v>0</v>
      </c>
      <c r="H17" s="21">
        <v>0</v>
      </c>
      <c r="I17" s="21">
        <v>0</v>
      </c>
      <c r="J17" s="21">
        <v>0</v>
      </c>
      <c r="K17" s="21">
        <v>0</v>
      </c>
      <c r="L17" s="21">
        <v>0</v>
      </c>
      <c r="M17" s="21">
        <f>SUM(E17:L17)</f>
        <v>0</v>
      </c>
    </row>
    <row r="18" spans="1:13" x14ac:dyDescent="0.25">
      <c r="A18" s="70"/>
      <c r="B18" s="71"/>
      <c r="C18" s="67"/>
      <c r="D18" s="39" t="s">
        <v>25</v>
      </c>
      <c r="E18" s="21">
        <v>2292.6999999999998</v>
      </c>
      <c r="F18" s="21">
        <f>1350+525.3</f>
        <v>1875.3</v>
      </c>
      <c r="G18" s="21">
        <f>1350+522.5</f>
        <v>1872.5</v>
      </c>
      <c r="H18" s="21">
        <f>2700+974.9</f>
        <v>3674.9</v>
      </c>
      <c r="I18" s="21">
        <f>2700+350-350</f>
        <v>2700</v>
      </c>
      <c r="J18" s="21">
        <v>2700</v>
      </c>
      <c r="K18" s="21">
        <v>2700</v>
      </c>
      <c r="L18" s="21">
        <v>0</v>
      </c>
      <c r="M18" s="21">
        <f t="shared" ref="M18:M20" si="2">SUM(E18:L18)</f>
        <v>17815.400000000001</v>
      </c>
    </row>
    <row r="19" spans="1:13" x14ac:dyDescent="0.25">
      <c r="A19" s="70"/>
      <c r="B19" s="71"/>
      <c r="C19" s="67"/>
      <c r="D19" s="20" t="s">
        <v>26</v>
      </c>
      <c r="E19" s="21">
        <v>6606.4</v>
      </c>
      <c r="F19" s="21">
        <f>9373.1+150</f>
        <v>9523.1</v>
      </c>
      <c r="G19" s="21">
        <f>10620+150+850+1000</f>
        <v>12620</v>
      </c>
      <c r="H19" s="21">
        <f>15234.8+300</f>
        <v>15534.8</v>
      </c>
      <c r="I19" s="21">
        <f>17201.4+300+38.9-38.9</f>
        <v>17501.400000000001</v>
      </c>
      <c r="J19" s="21">
        <f>17201.4+300</f>
        <v>17501.400000000001</v>
      </c>
      <c r="K19" s="21">
        <f>17201.4+300</f>
        <v>17501.400000000001</v>
      </c>
      <c r="L19" s="21">
        <f>17201.4</f>
        <v>17201.400000000001</v>
      </c>
      <c r="M19" s="21">
        <f t="shared" si="2"/>
        <v>113989.9</v>
      </c>
    </row>
    <row r="20" spans="1:13" x14ac:dyDescent="0.25">
      <c r="A20" s="70"/>
      <c r="B20" s="71"/>
      <c r="C20" s="67"/>
      <c r="D20" s="39" t="s">
        <v>27</v>
      </c>
      <c r="E20" s="21">
        <v>1729.4</v>
      </c>
      <c r="F20" s="21">
        <v>2065.6999999999998</v>
      </c>
      <c r="G20" s="21">
        <v>1900</v>
      </c>
      <c r="H20" s="21">
        <f>2100-70</f>
        <v>2030</v>
      </c>
      <c r="I20" s="21">
        <f>2150-75</f>
        <v>2075</v>
      </c>
      <c r="J20" s="21">
        <f>2200-J30</f>
        <v>2120</v>
      </c>
      <c r="K20" s="21">
        <f>2400-K30</f>
        <v>2315</v>
      </c>
      <c r="L20" s="21">
        <f>2600-L30</f>
        <v>2510</v>
      </c>
      <c r="M20" s="21">
        <f t="shared" si="2"/>
        <v>16745.099999999999</v>
      </c>
    </row>
    <row r="21" spans="1:13" x14ac:dyDescent="0.25">
      <c r="A21" s="72">
        <v>2</v>
      </c>
      <c r="B21" s="74" t="s">
        <v>29</v>
      </c>
      <c r="C21" s="76" t="s">
        <v>23</v>
      </c>
      <c r="D21" s="39" t="s">
        <v>20</v>
      </c>
      <c r="E21" s="21">
        <f t="shared" ref="E21:G21" si="3">SUM(E22:E25)</f>
        <v>71905.299999999988</v>
      </c>
      <c r="F21" s="21">
        <f t="shared" si="3"/>
        <v>73775.3</v>
      </c>
      <c r="G21" s="21">
        <f t="shared" si="3"/>
        <v>60728.2</v>
      </c>
      <c r="H21" s="21">
        <f t="shared" ref="H21:L21" si="4">SUM(H22:H25)</f>
        <v>81222.5</v>
      </c>
      <c r="I21" s="21">
        <f t="shared" si="4"/>
        <v>134225.20000000001</v>
      </c>
      <c r="J21" s="21">
        <f t="shared" si="4"/>
        <v>64975.199999999997</v>
      </c>
      <c r="K21" s="21">
        <f t="shared" si="4"/>
        <v>65475.199999999997</v>
      </c>
      <c r="L21" s="21">
        <f t="shared" si="4"/>
        <v>65975.199999999997</v>
      </c>
      <c r="M21" s="21">
        <f>M22+M23+M24+M25</f>
        <v>618282.10000000009</v>
      </c>
    </row>
    <row r="22" spans="1:13" x14ac:dyDescent="0.25">
      <c r="A22" s="73"/>
      <c r="B22" s="75"/>
      <c r="C22" s="77"/>
      <c r="D22" s="39" t="s">
        <v>24</v>
      </c>
      <c r="E22" s="21">
        <v>0</v>
      </c>
      <c r="F22" s="21">
        <v>0</v>
      </c>
      <c r="G22" s="21">
        <v>0</v>
      </c>
      <c r="H22" s="21">
        <v>0</v>
      </c>
      <c r="I22" s="21">
        <v>0</v>
      </c>
      <c r="J22" s="21">
        <v>0</v>
      </c>
      <c r="K22" s="21">
        <v>0</v>
      </c>
      <c r="L22" s="21">
        <v>0</v>
      </c>
      <c r="M22" s="21">
        <f>SUM(E22:L22)</f>
        <v>0</v>
      </c>
    </row>
    <row r="23" spans="1:13" x14ac:dyDescent="0.25">
      <c r="A23" s="73"/>
      <c r="B23" s="75"/>
      <c r="C23" s="77"/>
      <c r="D23" s="39" t="s">
        <v>25</v>
      </c>
      <c r="E23" s="21">
        <v>0</v>
      </c>
      <c r="F23" s="21">
        <v>444.9</v>
      </c>
      <c r="G23" s="21">
        <v>698.8</v>
      </c>
      <c r="H23" s="21">
        <v>0</v>
      </c>
      <c r="I23" s="21">
        <f>62775</f>
        <v>62775</v>
      </c>
      <c r="J23" s="21">
        <v>0</v>
      </c>
      <c r="K23" s="21">
        <v>0</v>
      </c>
      <c r="L23" s="21">
        <v>0</v>
      </c>
      <c r="M23" s="21">
        <f t="shared" ref="M23:M25" si="5">SUM(E23:L23)</f>
        <v>63918.7</v>
      </c>
    </row>
    <row r="24" spans="1:13" x14ac:dyDescent="0.25">
      <c r="A24" s="73"/>
      <c r="B24" s="75"/>
      <c r="C24" s="77"/>
      <c r="D24" s="39" t="s">
        <v>26</v>
      </c>
      <c r="E24" s="21">
        <v>26585.599999999999</v>
      </c>
      <c r="F24" s="21">
        <v>20314.400000000001</v>
      </c>
      <c r="G24" s="21">
        <f>12259.1+723.3+87.3+409.7+50</f>
        <v>13529.4</v>
      </c>
      <c r="H24" s="21">
        <f>16324.7+797.8+18100</f>
        <v>35222.5</v>
      </c>
      <c r="I24" s="21">
        <f>17975.2+6975</f>
        <v>24950.2</v>
      </c>
      <c r="J24" s="21">
        <v>17975.2</v>
      </c>
      <c r="K24" s="21">
        <v>17975.2</v>
      </c>
      <c r="L24" s="21">
        <f>K24</f>
        <v>17975.2</v>
      </c>
      <c r="M24" s="21">
        <f t="shared" si="5"/>
        <v>174527.7</v>
      </c>
    </row>
    <row r="25" spans="1:13" x14ac:dyDescent="0.25">
      <c r="A25" s="73"/>
      <c r="B25" s="75"/>
      <c r="C25" s="78"/>
      <c r="D25" s="39" t="s">
        <v>27</v>
      </c>
      <c r="E25" s="21">
        <v>45319.7</v>
      </c>
      <c r="F25" s="21">
        <v>53016</v>
      </c>
      <c r="G25" s="21">
        <v>46500</v>
      </c>
      <c r="H25" s="21">
        <v>46000</v>
      </c>
      <c r="I25" s="21">
        <v>46500</v>
      </c>
      <c r="J25" s="21">
        <v>47000</v>
      </c>
      <c r="K25" s="21">
        <v>47500</v>
      </c>
      <c r="L25" s="21">
        <v>48000</v>
      </c>
      <c r="M25" s="21">
        <f t="shared" si="5"/>
        <v>379835.7</v>
      </c>
    </row>
    <row r="26" spans="1:13" x14ac:dyDescent="0.25">
      <c r="A26" s="94">
        <v>3</v>
      </c>
      <c r="B26" s="80" t="s">
        <v>31</v>
      </c>
      <c r="C26" s="67" t="s">
        <v>23</v>
      </c>
      <c r="D26" s="20" t="s">
        <v>20</v>
      </c>
      <c r="E26" s="21">
        <f t="shared" ref="E26:G26" si="6">E27+E28+E29+E30</f>
        <v>5043.8999999999996</v>
      </c>
      <c r="F26" s="21">
        <f t="shared" si="6"/>
        <v>54976.752</v>
      </c>
      <c r="G26" s="21">
        <f t="shared" si="6"/>
        <v>8610.4</v>
      </c>
      <c r="H26" s="21">
        <f t="shared" ref="H26:L26" si="7">H27+H28+H29+H30</f>
        <v>14400.26</v>
      </c>
      <c r="I26" s="21">
        <f t="shared" si="7"/>
        <v>73394.3</v>
      </c>
      <c r="J26" s="21">
        <f t="shared" si="7"/>
        <v>10399.299999999999</v>
      </c>
      <c r="K26" s="21">
        <f t="shared" si="7"/>
        <v>10404.299999999999</v>
      </c>
      <c r="L26" s="21">
        <f t="shared" si="7"/>
        <v>10409.299999999999</v>
      </c>
      <c r="M26" s="21">
        <f>M27+M28+M29+M30</f>
        <v>187638.51200000002</v>
      </c>
    </row>
    <row r="27" spans="1:13" x14ac:dyDescent="0.25">
      <c r="A27" s="95"/>
      <c r="B27" s="81"/>
      <c r="C27" s="67"/>
      <c r="D27" s="20" t="s">
        <v>24</v>
      </c>
      <c r="E27" s="21">
        <v>0</v>
      </c>
      <c r="F27" s="21">
        <v>0</v>
      </c>
      <c r="G27" s="21">
        <v>0</v>
      </c>
      <c r="H27" s="21">
        <v>0</v>
      </c>
      <c r="I27" s="21">
        <v>0</v>
      </c>
      <c r="J27" s="21">
        <v>0</v>
      </c>
      <c r="K27" s="21">
        <v>0</v>
      </c>
      <c r="L27" s="21">
        <v>0</v>
      </c>
      <c r="M27" s="21">
        <f>SUM(E27:L27)</f>
        <v>0</v>
      </c>
    </row>
    <row r="28" spans="1:13" x14ac:dyDescent="0.25">
      <c r="A28" s="95"/>
      <c r="B28" s="81"/>
      <c r="C28" s="67"/>
      <c r="D28" s="20" t="s">
        <v>25</v>
      </c>
      <c r="E28" s="21">
        <f>573.2</f>
        <v>573.20000000000005</v>
      </c>
      <c r="F28" s="21">
        <v>43858.9</v>
      </c>
      <c r="G28" s="21">
        <v>238.9</v>
      </c>
      <c r="H28" s="21">
        <v>3324.16</v>
      </c>
      <c r="I28" s="21">
        <f>3255+54000</f>
        <v>57255</v>
      </c>
      <c r="J28" s="21">
        <v>3255</v>
      </c>
      <c r="K28" s="21">
        <v>3255</v>
      </c>
      <c r="L28" s="21">
        <v>0</v>
      </c>
      <c r="M28" s="21">
        <f t="shared" ref="M28:M30" si="8">SUM(E28:L28)</f>
        <v>111760.16</v>
      </c>
    </row>
    <row r="29" spans="1:13" x14ac:dyDescent="0.25">
      <c r="A29" s="95"/>
      <c r="B29" s="81"/>
      <c r="C29" s="67"/>
      <c r="D29" s="20" t="s">
        <v>26</v>
      </c>
      <c r="E29" s="21">
        <v>4430.7</v>
      </c>
      <c r="F29" s="21">
        <f>2450+3749.9+368.4+4492.9</f>
        <v>11061.199999999999</v>
      </c>
      <c r="G29" s="21">
        <f>5448.7+1627+1627+2238.8-3000+250+130</f>
        <v>8321.5</v>
      </c>
      <c r="H29" s="21">
        <v>11006.1</v>
      </c>
      <c r="I29" s="21">
        <f>7064.3+3000+6000</f>
        <v>16064.3</v>
      </c>
      <c r="J29" s="21">
        <v>7064.3</v>
      </c>
      <c r="K29" s="21">
        <v>7064.3</v>
      </c>
      <c r="L29" s="21">
        <f>7064.3+3255</f>
        <v>10319.299999999999</v>
      </c>
      <c r="M29" s="21">
        <f t="shared" si="8"/>
        <v>75331.700000000012</v>
      </c>
    </row>
    <row r="30" spans="1:13" x14ac:dyDescent="0.25">
      <c r="A30" s="95"/>
      <c r="B30" s="81"/>
      <c r="C30" s="67"/>
      <c r="D30" s="20" t="s">
        <v>27</v>
      </c>
      <c r="E30" s="21">
        <v>40</v>
      </c>
      <c r="F30" s="21">
        <v>56.652000000000001</v>
      </c>
      <c r="G30" s="21">
        <v>50</v>
      </c>
      <c r="H30" s="21">
        <v>70</v>
      </c>
      <c r="I30" s="21">
        <v>75</v>
      </c>
      <c r="J30" s="21">
        <v>80</v>
      </c>
      <c r="K30" s="21">
        <v>85</v>
      </c>
      <c r="L30" s="21">
        <v>90</v>
      </c>
      <c r="M30" s="21">
        <f t="shared" si="8"/>
        <v>546.65200000000004</v>
      </c>
    </row>
    <row r="31" spans="1:13" x14ac:dyDescent="0.25">
      <c r="A31" s="95"/>
      <c r="B31" s="81"/>
      <c r="C31" s="76" t="s">
        <v>75</v>
      </c>
      <c r="D31" s="20" t="s">
        <v>20</v>
      </c>
      <c r="E31" s="21">
        <f>E32+E33+E34+E35</f>
        <v>0</v>
      </c>
      <c r="F31" s="21">
        <f>F33+F34</f>
        <v>66183</v>
      </c>
      <c r="G31" s="21">
        <f t="shared" ref="G31" si="9">G33+G34</f>
        <v>0</v>
      </c>
      <c r="H31" s="21">
        <f t="shared" ref="H31:L31" si="10">H32+H33+H34+H35</f>
        <v>0</v>
      </c>
      <c r="I31" s="21">
        <f t="shared" si="10"/>
        <v>0</v>
      </c>
      <c r="J31" s="21">
        <f t="shared" si="10"/>
        <v>0</v>
      </c>
      <c r="K31" s="21">
        <f t="shared" si="10"/>
        <v>0</v>
      </c>
      <c r="L31" s="21">
        <f t="shared" si="10"/>
        <v>0</v>
      </c>
      <c r="M31" s="21">
        <f>SUM(E31:L31)</f>
        <v>66183</v>
      </c>
    </row>
    <row r="32" spans="1:13" x14ac:dyDescent="0.25">
      <c r="A32" s="95"/>
      <c r="B32" s="81"/>
      <c r="C32" s="77"/>
      <c r="D32" s="20" t="s">
        <v>24</v>
      </c>
      <c r="E32" s="21">
        <v>0</v>
      </c>
      <c r="F32" s="21">
        <v>0</v>
      </c>
      <c r="G32" s="21">
        <v>0</v>
      </c>
      <c r="H32" s="21">
        <v>0</v>
      </c>
      <c r="I32" s="21">
        <v>0</v>
      </c>
      <c r="J32" s="21">
        <v>0</v>
      </c>
      <c r="K32" s="21">
        <v>0</v>
      </c>
      <c r="L32" s="21">
        <v>0</v>
      </c>
      <c r="M32" s="21">
        <f t="shared" ref="M32:M35" si="11">SUM(E32:L32)</f>
        <v>0</v>
      </c>
    </row>
    <row r="33" spans="1:13" x14ac:dyDescent="0.25">
      <c r="A33" s="95"/>
      <c r="B33" s="81"/>
      <c r="C33" s="77"/>
      <c r="D33" s="20" t="s">
        <v>25</v>
      </c>
      <c r="E33" s="21">
        <v>0</v>
      </c>
      <c r="F33" s="21">
        <v>59564.7</v>
      </c>
      <c r="G33" s="21">
        <v>0</v>
      </c>
      <c r="H33" s="21">
        <v>0</v>
      </c>
      <c r="I33" s="21">
        <v>0</v>
      </c>
      <c r="J33" s="21">
        <v>0</v>
      </c>
      <c r="K33" s="21">
        <v>0</v>
      </c>
      <c r="L33" s="21">
        <v>0</v>
      </c>
      <c r="M33" s="21">
        <f t="shared" si="11"/>
        <v>59564.7</v>
      </c>
    </row>
    <row r="34" spans="1:13" x14ac:dyDescent="0.25">
      <c r="A34" s="95"/>
      <c r="B34" s="81"/>
      <c r="C34" s="77"/>
      <c r="D34" s="20" t="s">
        <v>26</v>
      </c>
      <c r="E34" s="21">
        <v>0</v>
      </c>
      <c r="F34" s="21">
        <v>6618.3</v>
      </c>
      <c r="G34" s="21">
        <v>0</v>
      </c>
      <c r="H34" s="21">
        <v>0</v>
      </c>
      <c r="I34" s="21">
        <v>0</v>
      </c>
      <c r="J34" s="21">
        <v>0</v>
      </c>
      <c r="K34" s="21">
        <v>0</v>
      </c>
      <c r="L34" s="21">
        <v>0</v>
      </c>
      <c r="M34" s="21">
        <f t="shared" si="11"/>
        <v>6618.3</v>
      </c>
    </row>
    <row r="35" spans="1:13" x14ac:dyDescent="0.25">
      <c r="A35" s="95"/>
      <c r="B35" s="81"/>
      <c r="C35" s="78"/>
      <c r="D35" s="20" t="s">
        <v>27</v>
      </c>
      <c r="E35" s="21">
        <v>0</v>
      </c>
      <c r="F35" s="21">
        <v>0</v>
      </c>
      <c r="G35" s="21">
        <v>0</v>
      </c>
      <c r="H35" s="21">
        <v>0</v>
      </c>
      <c r="I35" s="21">
        <v>0</v>
      </c>
      <c r="J35" s="21">
        <v>0</v>
      </c>
      <c r="K35" s="21">
        <v>0</v>
      </c>
      <c r="L35" s="21">
        <v>0</v>
      </c>
      <c r="M35" s="21">
        <f t="shared" si="11"/>
        <v>0</v>
      </c>
    </row>
    <row r="36" spans="1:13" x14ac:dyDescent="0.25">
      <c r="A36" s="95"/>
      <c r="B36" s="81"/>
      <c r="C36" s="67" t="s">
        <v>68</v>
      </c>
      <c r="D36" s="20" t="s">
        <v>20</v>
      </c>
      <c r="E36" s="21">
        <f t="shared" ref="E36:G36" si="12">E37+E38+E39+E40</f>
        <v>1100</v>
      </c>
      <c r="F36" s="21">
        <f t="shared" si="12"/>
        <v>3254</v>
      </c>
      <c r="G36" s="21">
        <f t="shared" si="12"/>
        <v>0</v>
      </c>
      <c r="H36" s="21">
        <f t="shared" ref="H36:L36" si="13">H37+H38+H39+H40</f>
        <v>0</v>
      </c>
      <c r="I36" s="21">
        <f t="shared" si="13"/>
        <v>0</v>
      </c>
      <c r="J36" s="21">
        <f t="shared" si="13"/>
        <v>0</v>
      </c>
      <c r="K36" s="21">
        <f t="shared" si="13"/>
        <v>0</v>
      </c>
      <c r="L36" s="21">
        <f t="shared" si="13"/>
        <v>0</v>
      </c>
      <c r="M36" s="21">
        <f>M37+M38+M39+M40</f>
        <v>4354</v>
      </c>
    </row>
    <row r="37" spans="1:13" x14ac:dyDescent="0.25">
      <c r="A37" s="95"/>
      <c r="B37" s="81"/>
      <c r="C37" s="67"/>
      <c r="D37" s="20" t="s">
        <v>24</v>
      </c>
      <c r="E37" s="21">
        <v>0</v>
      </c>
      <c r="F37" s="21">
        <v>0</v>
      </c>
      <c r="G37" s="21">
        <v>0</v>
      </c>
      <c r="H37" s="21">
        <v>0</v>
      </c>
      <c r="I37" s="21">
        <v>0</v>
      </c>
      <c r="J37" s="21">
        <v>0</v>
      </c>
      <c r="K37" s="21">
        <v>0</v>
      </c>
      <c r="L37" s="21">
        <v>0</v>
      </c>
      <c r="M37" s="21">
        <f>SUM(E37:L37)</f>
        <v>0</v>
      </c>
    </row>
    <row r="38" spans="1:13" x14ac:dyDescent="0.25">
      <c r="A38" s="95"/>
      <c r="B38" s="81"/>
      <c r="C38" s="67"/>
      <c r="D38" s="20" t="s">
        <v>25</v>
      </c>
      <c r="E38" s="21">
        <v>0</v>
      </c>
      <c r="F38" s="21">
        <v>0</v>
      </c>
      <c r="G38" s="21">
        <v>0</v>
      </c>
      <c r="H38" s="21">
        <v>0</v>
      </c>
      <c r="I38" s="21">
        <v>0</v>
      </c>
      <c r="J38" s="21">
        <v>0</v>
      </c>
      <c r="K38" s="21">
        <v>0</v>
      </c>
      <c r="L38" s="21">
        <v>0</v>
      </c>
      <c r="M38" s="21">
        <f t="shared" ref="M38:M40" si="14">SUM(E38:L38)</f>
        <v>0</v>
      </c>
    </row>
    <row r="39" spans="1:13" x14ac:dyDescent="0.25">
      <c r="A39" s="95"/>
      <c r="B39" s="81"/>
      <c r="C39" s="67"/>
      <c r="D39" s="20" t="s">
        <v>26</v>
      </c>
      <c r="E39" s="21">
        <v>1100</v>
      </c>
      <c r="F39" s="21">
        <v>3254</v>
      </c>
      <c r="G39" s="21">
        <v>0</v>
      </c>
      <c r="H39" s="21">
        <v>0</v>
      </c>
      <c r="I39" s="21">
        <v>0</v>
      </c>
      <c r="J39" s="21">
        <v>0</v>
      </c>
      <c r="K39" s="21">
        <v>0</v>
      </c>
      <c r="L39" s="21">
        <v>0</v>
      </c>
      <c r="M39" s="21">
        <f t="shared" si="14"/>
        <v>4354</v>
      </c>
    </row>
    <row r="40" spans="1:13" x14ac:dyDescent="0.25">
      <c r="A40" s="95"/>
      <c r="B40" s="81"/>
      <c r="C40" s="67"/>
      <c r="D40" s="20" t="s">
        <v>27</v>
      </c>
      <c r="E40" s="21">
        <v>0</v>
      </c>
      <c r="F40" s="21">
        <v>0</v>
      </c>
      <c r="G40" s="21">
        <v>0</v>
      </c>
      <c r="H40" s="21">
        <v>0</v>
      </c>
      <c r="I40" s="21">
        <v>0</v>
      </c>
      <c r="J40" s="21">
        <v>0</v>
      </c>
      <c r="K40" s="21">
        <v>0</v>
      </c>
      <c r="L40" s="21">
        <v>0</v>
      </c>
      <c r="M40" s="21">
        <f t="shared" si="14"/>
        <v>0</v>
      </c>
    </row>
    <row r="41" spans="1:13" x14ac:dyDescent="0.25">
      <c r="A41" s="95"/>
      <c r="B41" s="81"/>
      <c r="C41" s="76" t="s">
        <v>37</v>
      </c>
      <c r="D41" s="42" t="s">
        <v>20</v>
      </c>
      <c r="E41" s="21">
        <f t="shared" ref="E41:G43" si="15">E26+E36+E31</f>
        <v>6143.9</v>
      </c>
      <c r="F41" s="21">
        <f t="shared" si="15"/>
        <v>124413.75200000001</v>
      </c>
      <c r="G41" s="21">
        <f t="shared" si="15"/>
        <v>8610.4</v>
      </c>
      <c r="H41" s="21">
        <f t="shared" ref="H41:L41" si="16">H26+H36+H31</f>
        <v>14400.26</v>
      </c>
      <c r="I41" s="21">
        <f t="shared" si="16"/>
        <v>73394.3</v>
      </c>
      <c r="J41" s="21">
        <f t="shared" si="16"/>
        <v>10399.299999999999</v>
      </c>
      <c r="K41" s="21">
        <f t="shared" si="16"/>
        <v>10404.299999999999</v>
      </c>
      <c r="L41" s="21">
        <f t="shared" si="16"/>
        <v>10409.299999999999</v>
      </c>
      <c r="M41" s="21">
        <f t="shared" ref="M41" si="17">M26+M36+M31</f>
        <v>258175.51200000002</v>
      </c>
    </row>
    <row r="42" spans="1:13" x14ac:dyDescent="0.25">
      <c r="A42" s="95"/>
      <c r="B42" s="81"/>
      <c r="C42" s="77"/>
      <c r="D42" s="42" t="s">
        <v>24</v>
      </c>
      <c r="E42" s="21">
        <f>E27+E37+E32</f>
        <v>0</v>
      </c>
      <c r="F42" s="21">
        <f t="shared" si="15"/>
        <v>0</v>
      </c>
      <c r="G42" s="21">
        <f t="shared" si="15"/>
        <v>0</v>
      </c>
      <c r="H42" s="21">
        <f t="shared" ref="H42:L42" si="18">H27+H37+H32</f>
        <v>0</v>
      </c>
      <c r="I42" s="21">
        <f t="shared" si="18"/>
        <v>0</v>
      </c>
      <c r="J42" s="21">
        <f t="shared" si="18"/>
        <v>0</v>
      </c>
      <c r="K42" s="21">
        <f t="shared" si="18"/>
        <v>0</v>
      </c>
      <c r="L42" s="21">
        <f t="shared" si="18"/>
        <v>0</v>
      </c>
      <c r="M42" s="21">
        <f t="shared" ref="M42" si="19">M27+M37+M32</f>
        <v>0</v>
      </c>
    </row>
    <row r="43" spans="1:13" x14ac:dyDescent="0.25">
      <c r="A43" s="95"/>
      <c r="B43" s="81"/>
      <c r="C43" s="77"/>
      <c r="D43" s="42" t="s">
        <v>25</v>
      </c>
      <c r="E43" s="21">
        <f>E28+E38+E33</f>
        <v>573.20000000000005</v>
      </c>
      <c r="F43" s="21">
        <f>F28+F38+F33</f>
        <v>103423.6</v>
      </c>
      <c r="G43" s="21">
        <f t="shared" si="15"/>
        <v>238.9</v>
      </c>
      <c r="H43" s="21">
        <f t="shared" ref="H43:L43" si="20">H28+H38+H33</f>
        <v>3324.16</v>
      </c>
      <c r="I43" s="21">
        <f t="shared" si="20"/>
        <v>57255</v>
      </c>
      <c r="J43" s="21">
        <f t="shared" si="20"/>
        <v>3255</v>
      </c>
      <c r="K43" s="21">
        <f t="shared" si="20"/>
        <v>3255</v>
      </c>
      <c r="L43" s="21">
        <f t="shared" si="20"/>
        <v>0</v>
      </c>
      <c r="M43" s="21">
        <f t="shared" ref="M43" si="21">M28+M38+M33</f>
        <v>171324.86</v>
      </c>
    </row>
    <row r="44" spans="1:13" x14ac:dyDescent="0.25">
      <c r="A44" s="95"/>
      <c r="B44" s="81"/>
      <c r="C44" s="77"/>
      <c r="D44" s="42" t="s">
        <v>26</v>
      </c>
      <c r="E44" s="21">
        <f>E29++E34+E39</f>
        <v>5530.7</v>
      </c>
      <c r="F44" s="21">
        <f>F29++F34+F39</f>
        <v>20933.5</v>
      </c>
      <c r="G44" s="21">
        <f>G29++G34+G39</f>
        <v>8321.5</v>
      </c>
      <c r="H44" s="21">
        <f t="shared" ref="H44:L44" si="22">H29+H39+H34</f>
        <v>11006.1</v>
      </c>
      <c r="I44" s="21">
        <f t="shared" si="22"/>
        <v>16064.3</v>
      </c>
      <c r="J44" s="21">
        <f t="shared" si="22"/>
        <v>7064.3</v>
      </c>
      <c r="K44" s="21">
        <f t="shared" si="22"/>
        <v>7064.3</v>
      </c>
      <c r="L44" s="21">
        <f t="shared" si="22"/>
        <v>10319.299999999999</v>
      </c>
      <c r="M44" s="21">
        <f t="shared" ref="M44" si="23">M29+M39+M34</f>
        <v>86304.000000000015</v>
      </c>
    </row>
    <row r="45" spans="1:13" x14ac:dyDescent="0.25">
      <c r="A45" s="96"/>
      <c r="B45" s="82"/>
      <c r="C45" s="78"/>
      <c r="D45" s="42" t="s">
        <v>27</v>
      </c>
      <c r="E45" s="21">
        <f>E30+E40+E35</f>
        <v>40</v>
      </c>
      <c r="F45" s="21">
        <f t="shared" ref="F45:G45" si="24">F30+F40+F35</f>
        <v>56.652000000000001</v>
      </c>
      <c r="G45" s="21">
        <f t="shared" si="24"/>
        <v>50</v>
      </c>
      <c r="H45" s="21">
        <f t="shared" ref="H45:L45" si="25">H30+H40+H35</f>
        <v>70</v>
      </c>
      <c r="I45" s="21">
        <f t="shared" si="25"/>
        <v>75</v>
      </c>
      <c r="J45" s="21">
        <f t="shared" si="25"/>
        <v>80</v>
      </c>
      <c r="K45" s="21">
        <f t="shared" si="25"/>
        <v>85</v>
      </c>
      <c r="L45" s="21">
        <f t="shared" si="25"/>
        <v>90</v>
      </c>
      <c r="M45" s="21">
        <f t="shared" ref="M45" si="26">M30+M40+M35</f>
        <v>546.65200000000004</v>
      </c>
    </row>
    <row r="46" spans="1:13" x14ac:dyDescent="0.25">
      <c r="A46" s="79" t="s">
        <v>56</v>
      </c>
      <c r="B46" s="69" t="s">
        <v>86</v>
      </c>
      <c r="C46" s="67" t="s">
        <v>23</v>
      </c>
      <c r="D46" s="20" t="s">
        <v>20</v>
      </c>
      <c r="E46" s="21">
        <f t="shared" ref="E46:G46" si="27">E47+E48+E49+E50</f>
        <v>3769.5</v>
      </c>
      <c r="F46" s="21">
        <f t="shared" si="27"/>
        <v>4846.5</v>
      </c>
      <c r="G46" s="21">
        <f t="shared" si="27"/>
        <v>11683.2</v>
      </c>
      <c r="H46" s="21">
        <f t="shared" ref="H46:L46" si="28">H47+H48+H49+H50</f>
        <v>12395.9</v>
      </c>
      <c r="I46" s="21">
        <f t="shared" si="28"/>
        <v>12496</v>
      </c>
      <c r="J46" s="21">
        <f t="shared" si="28"/>
        <v>12496</v>
      </c>
      <c r="K46" s="21">
        <f t="shared" si="28"/>
        <v>12496</v>
      </c>
      <c r="L46" s="21">
        <f t="shared" si="28"/>
        <v>12496</v>
      </c>
      <c r="M46" s="21">
        <f>M47+M48+M49+M50</f>
        <v>82679.100000000006</v>
      </c>
    </row>
    <row r="47" spans="1:13" x14ac:dyDescent="0.25">
      <c r="A47" s="79"/>
      <c r="B47" s="69"/>
      <c r="C47" s="67"/>
      <c r="D47" s="20" t="s">
        <v>24</v>
      </c>
      <c r="E47" s="21">
        <v>0</v>
      </c>
      <c r="F47" s="21">
        <v>0</v>
      </c>
      <c r="G47" s="21">
        <v>0</v>
      </c>
      <c r="H47" s="21">
        <v>0</v>
      </c>
      <c r="I47" s="21">
        <v>0</v>
      </c>
      <c r="J47" s="21">
        <v>0</v>
      </c>
      <c r="K47" s="21">
        <v>0</v>
      </c>
      <c r="L47" s="21">
        <f>K47</f>
        <v>0</v>
      </c>
      <c r="M47" s="21">
        <f>SUM(E47:L47)</f>
        <v>0</v>
      </c>
    </row>
    <row r="48" spans="1:13" x14ac:dyDescent="0.25">
      <c r="A48" s="79"/>
      <c r="B48" s="69"/>
      <c r="C48" s="67"/>
      <c r="D48" s="20" t="s">
        <v>25</v>
      </c>
      <c r="E48" s="21">
        <v>0</v>
      </c>
      <c r="F48" s="21">
        <v>0</v>
      </c>
      <c r="G48" s="21">
        <v>0</v>
      </c>
      <c r="H48" s="21">
        <v>0</v>
      </c>
      <c r="I48" s="21">
        <v>0</v>
      </c>
      <c r="J48" s="21">
        <v>0</v>
      </c>
      <c r="K48" s="21">
        <v>0</v>
      </c>
      <c r="L48" s="21">
        <f t="shared" ref="L48:L50" si="29">K48</f>
        <v>0</v>
      </c>
      <c r="M48" s="21">
        <f t="shared" ref="M48:M50" si="30">SUM(E48:L48)</f>
        <v>0</v>
      </c>
    </row>
    <row r="49" spans="1:13" x14ac:dyDescent="0.25">
      <c r="A49" s="79"/>
      <c r="B49" s="69"/>
      <c r="C49" s="67"/>
      <c r="D49" s="20" t="s">
        <v>26</v>
      </c>
      <c r="E49" s="21">
        <v>3769.5</v>
      </c>
      <c r="F49" s="21">
        <v>4846.5</v>
      </c>
      <c r="G49" s="21">
        <v>11683.2</v>
      </c>
      <c r="H49" s="21">
        <v>12395.9</v>
      </c>
      <c r="I49" s="21">
        <v>12496</v>
      </c>
      <c r="J49" s="21">
        <v>12496</v>
      </c>
      <c r="K49" s="21">
        <v>12496</v>
      </c>
      <c r="L49" s="21">
        <f t="shared" si="29"/>
        <v>12496</v>
      </c>
      <c r="M49" s="21">
        <f t="shared" si="30"/>
        <v>82679.100000000006</v>
      </c>
    </row>
    <row r="50" spans="1:13" x14ac:dyDescent="0.25">
      <c r="A50" s="79"/>
      <c r="B50" s="69"/>
      <c r="C50" s="67"/>
      <c r="D50" s="20" t="s">
        <v>27</v>
      </c>
      <c r="E50" s="21">
        <v>0</v>
      </c>
      <c r="F50" s="21">
        <v>0</v>
      </c>
      <c r="G50" s="21">
        <v>0</v>
      </c>
      <c r="H50" s="21">
        <v>0</v>
      </c>
      <c r="I50" s="21">
        <v>0</v>
      </c>
      <c r="J50" s="21">
        <v>0</v>
      </c>
      <c r="K50" s="21">
        <v>0</v>
      </c>
      <c r="L50" s="21">
        <f t="shared" si="29"/>
        <v>0</v>
      </c>
      <c r="M50" s="21">
        <f t="shared" si="30"/>
        <v>0</v>
      </c>
    </row>
    <row r="51" spans="1:13" ht="18" customHeight="1" x14ac:dyDescent="0.25">
      <c r="A51" s="79" t="s">
        <v>57</v>
      </c>
      <c r="B51" s="69" t="s">
        <v>62</v>
      </c>
      <c r="C51" s="67" t="s">
        <v>23</v>
      </c>
      <c r="D51" s="20" t="s">
        <v>20</v>
      </c>
      <c r="E51" s="21">
        <f t="shared" ref="E51:G51" si="31">E54+E55</f>
        <v>748.2</v>
      </c>
      <c r="F51" s="21">
        <f t="shared" si="31"/>
        <v>3255</v>
      </c>
      <c r="G51" s="21">
        <f t="shared" si="31"/>
        <v>3500</v>
      </c>
      <c r="H51" s="21">
        <f t="shared" ref="H51:L51" si="32">H52+H53+H54+H55</f>
        <v>4250</v>
      </c>
      <c r="I51" s="21">
        <f t="shared" si="32"/>
        <v>1754</v>
      </c>
      <c r="J51" s="21">
        <f t="shared" si="32"/>
        <v>1754</v>
      </c>
      <c r="K51" s="21">
        <f t="shared" si="32"/>
        <v>1754</v>
      </c>
      <c r="L51" s="21">
        <f t="shared" si="32"/>
        <v>1754</v>
      </c>
      <c r="M51" s="21">
        <f>M52+M53+M54+M55</f>
        <v>18769.2</v>
      </c>
    </row>
    <row r="52" spans="1:13" ht="18.75" customHeight="1" x14ac:dyDescent="0.25">
      <c r="A52" s="79"/>
      <c r="B52" s="69"/>
      <c r="C52" s="67"/>
      <c r="D52" s="20" t="s">
        <v>24</v>
      </c>
      <c r="E52" s="21">
        <v>0</v>
      </c>
      <c r="F52" s="21">
        <v>0</v>
      </c>
      <c r="G52" s="21">
        <v>0</v>
      </c>
      <c r="H52" s="21">
        <v>0</v>
      </c>
      <c r="I52" s="21">
        <v>0</v>
      </c>
      <c r="J52" s="21">
        <v>0</v>
      </c>
      <c r="K52" s="21">
        <v>0</v>
      </c>
      <c r="L52" s="21">
        <v>0</v>
      </c>
      <c r="M52" s="21">
        <f>SUM(E52:L52)</f>
        <v>0</v>
      </c>
    </row>
    <row r="53" spans="1:13" ht="18" customHeight="1" x14ac:dyDescent="0.25">
      <c r="A53" s="79"/>
      <c r="B53" s="69"/>
      <c r="C53" s="67"/>
      <c r="D53" s="20" t="s">
        <v>25</v>
      </c>
      <c r="E53" s="21">
        <v>0</v>
      </c>
      <c r="F53" s="21">
        <v>0</v>
      </c>
      <c r="G53" s="21">
        <v>0</v>
      </c>
      <c r="H53" s="21">
        <v>0</v>
      </c>
      <c r="I53" s="21">
        <v>0</v>
      </c>
      <c r="J53" s="21">
        <v>0</v>
      </c>
      <c r="K53" s="21">
        <v>0</v>
      </c>
      <c r="L53" s="21">
        <v>0</v>
      </c>
      <c r="M53" s="21">
        <f t="shared" ref="M53:M55" si="33">SUM(E53:L53)</f>
        <v>0</v>
      </c>
    </row>
    <row r="54" spans="1:13" ht="18.75" customHeight="1" x14ac:dyDescent="0.25">
      <c r="A54" s="79"/>
      <c r="B54" s="69"/>
      <c r="C54" s="67"/>
      <c r="D54" s="20" t="s">
        <v>26</v>
      </c>
      <c r="E54" s="21">
        <v>748.2</v>
      </c>
      <c r="F54" s="21">
        <v>3255</v>
      </c>
      <c r="G54" s="21">
        <v>3500</v>
      </c>
      <c r="H54" s="21">
        <v>4250</v>
      </c>
      <c r="I54" s="21">
        <v>1754</v>
      </c>
      <c r="J54" s="21">
        <v>1754</v>
      </c>
      <c r="K54" s="21">
        <v>1754</v>
      </c>
      <c r="L54" s="21">
        <f>K54</f>
        <v>1754</v>
      </c>
      <c r="M54" s="21">
        <f t="shared" si="33"/>
        <v>18769.2</v>
      </c>
    </row>
    <row r="55" spans="1:13" ht="19.5" customHeight="1" x14ac:dyDescent="0.25">
      <c r="A55" s="79"/>
      <c r="B55" s="69"/>
      <c r="C55" s="67"/>
      <c r="D55" s="20" t="s">
        <v>27</v>
      </c>
      <c r="E55" s="21">
        <v>0</v>
      </c>
      <c r="F55" s="21">
        <v>0</v>
      </c>
      <c r="G55" s="21">
        <v>0</v>
      </c>
      <c r="H55" s="21">
        <v>0</v>
      </c>
      <c r="I55" s="21">
        <v>0</v>
      </c>
      <c r="J55" s="21">
        <v>0</v>
      </c>
      <c r="K55" s="21">
        <v>0</v>
      </c>
      <c r="L55" s="21">
        <v>0</v>
      </c>
      <c r="M55" s="21">
        <f t="shared" si="33"/>
        <v>0</v>
      </c>
    </row>
    <row r="56" spans="1:13" x14ac:dyDescent="0.25">
      <c r="A56" s="79" t="s">
        <v>58</v>
      </c>
      <c r="B56" s="69" t="s">
        <v>34</v>
      </c>
      <c r="C56" s="67" t="s">
        <v>23</v>
      </c>
      <c r="D56" s="20" t="s">
        <v>20</v>
      </c>
      <c r="E56" s="21">
        <f t="shared" ref="E56:G56" si="34">E57+E58+E59+E60</f>
        <v>29038</v>
      </c>
      <c r="F56" s="21">
        <f t="shared" si="34"/>
        <v>31598.400000000001</v>
      </c>
      <c r="G56" s="21">
        <f t="shared" si="34"/>
        <v>45000</v>
      </c>
      <c r="H56" s="21">
        <f t="shared" ref="H56:L56" si="35">H57+H58+H59+H60</f>
        <v>70968.800000000003</v>
      </c>
      <c r="I56" s="21">
        <f t="shared" si="35"/>
        <v>29000</v>
      </c>
      <c r="J56" s="21">
        <f t="shared" si="35"/>
        <v>29000</v>
      </c>
      <c r="K56" s="21">
        <f t="shared" si="35"/>
        <v>29000</v>
      </c>
      <c r="L56" s="21">
        <f t="shared" si="35"/>
        <v>29000</v>
      </c>
      <c r="M56" s="21">
        <f>M57+M58+M59+M60</f>
        <v>292605.2</v>
      </c>
    </row>
    <row r="57" spans="1:13" x14ac:dyDescent="0.25">
      <c r="A57" s="79"/>
      <c r="B57" s="69"/>
      <c r="C57" s="67"/>
      <c r="D57" s="20" t="s">
        <v>24</v>
      </c>
      <c r="E57" s="21">
        <v>0</v>
      </c>
      <c r="F57" s="21">
        <v>0</v>
      </c>
      <c r="G57" s="21">
        <v>0</v>
      </c>
      <c r="H57" s="21">
        <v>0</v>
      </c>
      <c r="I57" s="21">
        <v>0</v>
      </c>
      <c r="J57" s="21">
        <v>0</v>
      </c>
      <c r="K57" s="21">
        <v>0</v>
      </c>
      <c r="L57" s="21">
        <v>0</v>
      </c>
      <c r="M57" s="21">
        <f>SUM(E57:L57)</f>
        <v>0</v>
      </c>
    </row>
    <row r="58" spans="1:13" x14ac:dyDescent="0.25">
      <c r="A58" s="79"/>
      <c r="B58" s="69"/>
      <c r="C58" s="67"/>
      <c r="D58" s="20" t="s">
        <v>25</v>
      </c>
      <c r="E58" s="21">
        <v>0</v>
      </c>
      <c r="F58" s="21">
        <v>0</v>
      </c>
      <c r="G58" s="21">
        <v>0</v>
      </c>
      <c r="H58" s="21">
        <v>0</v>
      </c>
      <c r="I58" s="21">
        <v>0</v>
      </c>
      <c r="J58" s="21">
        <v>0</v>
      </c>
      <c r="K58" s="21">
        <v>0</v>
      </c>
      <c r="L58" s="21">
        <v>0</v>
      </c>
      <c r="M58" s="21">
        <f>SUM(E58:L58)</f>
        <v>0</v>
      </c>
    </row>
    <row r="59" spans="1:13" x14ac:dyDescent="0.25">
      <c r="A59" s="79"/>
      <c r="B59" s="69"/>
      <c r="C59" s="67"/>
      <c r="D59" s="20" t="s">
        <v>26</v>
      </c>
      <c r="E59" s="21">
        <v>29038</v>
      </c>
      <c r="F59" s="21">
        <f>26000+5598.4</f>
        <v>31598.400000000001</v>
      </c>
      <c r="G59" s="21">
        <f>29000+7000+5000+4000</f>
        <v>45000</v>
      </c>
      <c r="H59" s="21">
        <f>70968.8</f>
        <v>70968.800000000003</v>
      </c>
      <c r="I59" s="21">
        <f>9000+15000+5000</f>
        <v>29000</v>
      </c>
      <c r="J59" s="21">
        <v>29000</v>
      </c>
      <c r="K59" s="21">
        <v>29000</v>
      </c>
      <c r="L59" s="21">
        <v>29000</v>
      </c>
      <c r="M59" s="21">
        <f t="shared" ref="M59:M60" si="36">SUM(E59:L59)</f>
        <v>292605.2</v>
      </c>
    </row>
    <row r="60" spans="1:13" x14ac:dyDescent="0.25">
      <c r="A60" s="79"/>
      <c r="B60" s="69"/>
      <c r="C60" s="67"/>
      <c r="D60" s="20" t="s">
        <v>27</v>
      </c>
      <c r="E60" s="21">
        <v>0</v>
      </c>
      <c r="F60" s="21">
        <v>0</v>
      </c>
      <c r="G60" s="21">
        <v>0</v>
      </c>
      <c r="H60" s="21">
        <v>0</v>
      </c>
      <c r="I60" s="21">
        <v>0</v>
      </c>
      <c r="J60" s="21">
        <v>0</v>
      </c>
      <c r="K60" s="21">
        <v>0</v>
      </c>
      <c r="L60" s="21">
        <v>0</v>
      </c>
      <c r="M60" s="21">
        <f t="shared" si="36"/>
        <v>0</v>
      </c>
    </row>
    <row r="61" spans="1:13" x14ac:dyDescent="0.25">
      <c r="A61" s="79" t="s">
        <v>59</v>
      </c>
      <c r="B61" s="69" t="s">
        <v>77</v>
      </c>
      <c r="C61" s="67" t="s">
        <v>23</v>
      </c>
      <c r="D61" s="20" t="s">
        <v>20</v>
      </c>
      <c r="E61" s="21">
        <f t="shared" ref="E61:G61" si="37">E62+E63+E64+E65</f>
        <v>1800</v>
      </c>
      <c r="F61" s="21">
        <f t="shared" si="37"/>
        <v>1800</v>
      </c>
      <c r="G61" s="21">
        <f t="shared" si="37"/>
        <v>1800</v>
      </c>
      <c r="H61" s="21">
        <f t="shared" ref="H61:L61" si="38">H62+H63+H64+H65</f>
        <v>1800</v>
      </c>
      <c r="I61" s="21">
        <f t="shared" si="38"/>
        <v>1800</v>
      </c>
      <c r="J61" s="21">
        <f t="shared" si="38"/>
        <v>1800</v>
      </c>
      <c r="K61" s="21">
        <f t="shared" si="38"/>
        <v>1800</v>
      </c>
      <c r="L61" s="21">
        <f t="shared" si="38"/>
        <v>1800</v>
      </c>
      <c r="M61" s="21">
        <f>M62+M63+M64+M65</f>
        <v>14400</v>
      </c>
    </row>
    <row r="62" spans="1:13" x14ac:dyDescent="0.25">
      <c r="A62" s="79"/>
      <c r="B62" s="69"/>
      <c r="C62" s="67"/>
      <c r="D62" s="20" t="s">
        <v>24</v>
      </c>
      <c r="E62" s="21">
        <v>0</v>
      </c>
      <c r="F62" s="21">
        <v>0</v>
      </c>
      <c r="G62" s="21">
        <v>0</v>
      </c>
      <c r="H62" s="21">
        <v>0</v>
      </c>
      <c r="I62" s="21">
        <v>0</v>
      </c>
      <c r="J62" s="21">
        <v>0</v>
      </c>
      <c r="K62" s="21">
        <v>0</v>
      </c>
      <c r="L62" s="21">
        <v>0</v>
      </c>
      <c r="M62" s="21">
        <f>SUM(E62:L62)</f>
        <v>0</v>
      </c>
    </row>
    <row r="63" spans="1:13" x14ac:dyDescent="0.25">
      <c r="A63" s="79"/>
      <c r="B63" s="69"/>
      <c r="C63" s="67"/>
      <c r="D63" s="20" t="s">
        <v>25</v>
      </c>
      <c r="E63" s="21">
        <v>0</v>
      </c>
      <c r="F63" s="21">
        <v>0</v>
      </c>
      <c r="G63" s="21">
        <v>0</v>
      </c>
      <c r="H63" s="21">
        <v>0</v>
      </c>
      <c r="I63" s="21">
        <v>0</v>
      </c>
      <c r="J63" s="21">
        <v>0</v>
      </c>
      <c r="K63" s="21">
        <v>0</v>
      </c>
      <c r="L63" s="21">
        <v>0</v>
      </c>
      <c r="M63" s="21">
        <f t="shared" ref="M63:M65" si="39">SUM(E63:L63)</f>
        <v>0</v>
      </c>
    </row>
    <row r="64" spans="1:13" x14ac:dyDescent="0.25">
      <c r="A64" s="79"/>
      <c r="B64" s="69"/>
      <c r="C64" s="67"/>
      <c r="D64" s="20" t="s">
        <v>26</v>
      </c>
      <c r="E64" s="21">
        <v>1800</v>
      </c>
      <c r="F64" s="21">
        <v>1800</v>
      </c>
      <c r="G64" s="21">
        <v>1800</v>
      </c>
      <c r="H64" s="21">
        <v>1800</v>
      </c>
      <c r="I64" s="21">
        <v>1800</v>
      </c>
      <c r="J64" s="21">
        <v>1800</v>
      </c>
      <c r="K64" s="21">
        <v>1800</v>
      </c>
      <c r="L64" s="21">
        <v>1800</v>
      </c>
      <c r="M64" s="21">
        <f t="shared" si="39"/>
        <v>14400</v>
      </c>
    </row>
    <row r="65" spans="1:13" x14ac:dyDescent="0.25">
      <c r="A65" s="79"/>
      <c r="B65" s="69"/>
      <c r="C65" s="67"/>
      <c r="D65" s="20" t="s">
        <v>27</v>
      </c>
      <c r="E65" s="21">
        <v>0</v>
      </c>
      <c r="F65" s="21">
        <v>0</v>
      </c>
      <c r="G65" s="21">
        <v>0</v>
      </c>
      <c r="H65" s="21">
        <v>0</v>
      </c>
      <c r="I65" s="21">
        <v>0</v>
      </c>
      <c r="J65" s="21">
        <v>0</v>
      </c>
      <c r="K65" s="21">
        <v>0</v>
      </c>
      <c r="L65" s="21">
        <v>0</v>
      </c>
      <c r="M65" s="21">
        <f t="shared" si="39"/>
        <v>0</v>
      </c>
    </row>
    <row r="66" spans="1:13" ht="15" customHeight="1" x14ac:dyDescent="0.25">
      <c r="A66" s="90" t="s">
        <v>60</v>
      </c>
      <c r="B66" s="80" t="s">
        <v>63</v>
      </c>
      <c r="C66" s="76" t="s">
        <v>23</v>
      </c>
      <c r="D66" s="20" t="s">
        <v>20</v>
      </c>
      <c r="E66" s="21">
        <f t="shared" ref="E66:G66" si="40">E67+E68+E69+E70</f>
        <v>66619</v>
      </c>
      <c r="F66" s="21">
        <f t="shared" si="40"/>
        <v>107305.79999999999</v>
      </c>
      <c r="G66" s="21">
        <f t="shared" si="40"/>
        <v>85137</v>
      </c>
      <c r="H66" s="21">
        <f t="shared" ref="H66:L66" si="41">H67+H68+H69+H70</f>
        <v>0</v>
      </c>
      <c r="I66" s="21">
        <f t="shared" si="41"/>
        <v>0</v>
      </c>
      <c r="J66" s="21">
        <f t="shared" si="41"/>
        <v>0</v>
      </c>
      <c r="K66" s="21">
        <f t="shared" si="41"/>
        <v>0</v>
      </c>
      <c r="L66" s="21">
        <f t="shared" si="41"/>
        <v>0</v>
      </c>
      <c r="M66" s="21">
        <f>M67+M68+M69+M70</f>
        <v>259061.8</v>
      </c>
    </row>
    <row r="67" spans="1:13" x14ac:dyDescent="0.25">
      <c r="A67" s="91"/>
      <c r="B67" s="81"/>
      <c r="C67" s="77"/>
      <c r="D67" s="20" t="s">
        <v>24</v>
      </c>
      <c r="E67" s="21">
        <v>0</v>
      </c>
      <c r="F67" s="21">
        <v>0</v>
      </c>
      <c r="G67" s="21">
        <v>0</v>
      </c>
      <c r="H67" s="21">
        <v>0</v>
      </c>
      <c r="I67" s="21">
        <v>0</v>
      </c>
      <c r="J67" s="21">
        <v>0</v>
      </c>
      <c r="K67" s="21">
        <v>0</v>
      </c>
      <c r="L67" s="21">
        <v>0</v>
      </c>
      <c r="M67" s="21">
        <f>SUM(E67:L67)</f>
        <v>0</v>
      </c>
    </row>
    <row r="68" spans="1:13" x14ac:dyDescent="0.25">
      <c r="A68" s="91"/>
      <c r="B68" s="81"/>
      <c r="C68" s="77"/>
      <c r="D68" s="20" t="s">
        <v>25</v>
      </c>
      <c r="E68" s="21">
        <f>12598+0.1</f>
        <v>12598.1</v>
      </c>
      <c r="F68" s="21">
        <v>9327.7999999999993</v>
      </c>
      <c r="G68" s="21">
        <v>3221.4</v>
      </c>
      <c r="H68" s="21">
        <v>0</v>
      </c>
      <c r="I68" s="21">
        <v>0</v>
      </c>
      <c r="J68" s="21">
        <v>0</v>
      </c>
      <c r="K68" s="21">
        <v>0</v>
      </c>
      <c r="L68" s="21">
        <v>0</v>
      </c>
      <c r="M68" s="21">
        <f t="shared" ref="M68:M70" si="42">SUM(E68:L68)</f>
        <v>25147.300000000003</v>
      </c>
    </row>
    <row r="69" spans="1:13" x14ac:dyDescent="0.25">
      <c r="A69" s="91"/>
      <c r="B69" s="81"/>
      <c r="C69" s="77"/>
      <c r="D69" s="20" t="s">
        <v>26</v>
      </c>
      <c r="E69" s="21">
        <v>40648.5</v>
      </c>
      <c r="F69" s="21">
        <v>80244.899999999994</v>
      </c>
      <c r="G69" s="21">
        <f>55737.8+789.7+430+1309.7+2712.3+631.1</f>
        <v>61610.6</v>
      </c>
      <c r="H69" s="21">
        <v>0</v>
      </c>
      <c r="I69" s="21">
        <v>0</v>
      </c>
      <c r="J69" s="21">
        <v>0</v>
      </c>
      <c r="K69" s="21">
        <v>0</v>
      </c>
      <c r="L69" s="21">
        <v>0</v>
      </c>
      <c r="M69" s="21">
        <f t="shared" si="42"/>
        <v>182504</v>
      </c>
    </row>
    <row r="70" spans="1:13" x14ac:dyDescent="0.25">
      <c r="A70" s="91"/>
      <c r="B70" s="81"/>
      <c r="C70" s="78"/>
      <c r="D70" s="20" t="s">
        <v>27</v>
      </c>
      <c r="E70" s="21">
        <v>13372.4</v>
      </c>
      <c r="F70" s="21">
        <v>17733.099999999999</v>
      </c>
      <c r="G70" s="21">
        <v>20305</v>
      </c>
      <c r="H70" s="21">
        <v>0</v>
      </c>
      <c r="I70" s="21">
        <v>0</v>
      </c>
      <c r="J70" s="21">
        <v>0</v>
      </c>
      <c r="K70" s="21">
        <v>0</v>
      </c>
      <c r="L70" s="21">
        <v>0</v>
      </c>
      <c r="M70" s="21">
        <f t="shared" si="42"/>
        <v>51410.5</v>
      </c>
    </row>
    <row r="71" spans="1:13" ht="15" customHeight="1" x14ac:dyDescent="0.25">
      <c r="A71" s="91"/>
      <c r="B71" s="81"/>
      <c r="C71" s="76" t="s">
        <v>68</v>
      </c>
      <c r="D71" s="20" t="s">
        <v>20</v>
      </c>
      <c r="E71" s="21">
        <f t="shared" ref="E71:G71" si="43">E72+E73+E74+E75</f>
        <v>2500</v>
      </c>
      <c r="F71" s="21">
        <f t="shared" si="43"/>
        <v>2500</v>
      </c>
      <c r="G71" s="21">
        <f t="shared" si="43"/>
        <v>2500</v>
      </c>
      <c r="H71" s="21">
        <f t="shared" ref="H71:L71" si="44">H72+H73+H74+H75</f>
        <v>0</v>
      </c>
      <c r="I71" s="21">
        <f t="shared" si="44"/>
        <v>0</v>
      </c>
      <c r="J71" s="21">
        <f t="shared" si="44"/>
        <v>0</v>
      </c>
      <c r="K71" s="21">
        <f t="shared" si="44"/>
        <v>0</v>
      </c>
      <c r="L71" s="21">
        <f t="shared" si="44"/>
        <v>0</v>
      </c>
      <c r="M71" s="21">
        <f>M72+M73+M74+M75</f>
        <v>7500</v>
      </c>
    </row>
    <row r="72" spans="1:13" x14ac:dyDescent="0.25">
      <c r="A72" s="91"/>
      <c r="B72" s="81"/>
      <c r="C72" s="77"/>
      <c r="D72" s="20" t="s">
        <v>24</v>
      </c>
      <c r="E72" s="21">
        <v>0</v>
      </c>
      <c r="F72" s="21">
        <v>0</v>
      </c>
      <c r="G72" s="21">
        <v>0</v>
      </c>
      <c r="H72" s="21">
        <v>0</v>
      </c>
      <c r="I72" s="21">
        <v>0</v>
      </c>
      <c r="J72" s="21">
        <v>0</v>
      </c>
      <c r="K72" s="21">
        <v>0</v>
      </c>
      <c r="L72" s="21">
        <v>0</v>
      </c>
      <c r="M72" s="21">
        <f>SUM(E72:L72)</f>
        <v>0</v>
      </c>
    </row>
    <row r="73" spans="1:13" x14ac:dyDescent="0.25">
      <c r="A73" s="91"/>
      <c r="B73" s="81"/>
      <c r="C73" s="77"/>
      <c r="D73" s="20" t="s">
        <v>25</v>
      </c>
      <c r="E73" s="21">
        <v>0</v>
      </c>
      <c r="F73" s="21">
        <v>0</v>
      </c>
      <c r="G73" s="21">
        <v>0</v>
      </c>
      <c r="H73" s="21">
        <v>0</v>
      </c>
      <c r="I73" s="21">
        <v>0</v>
      </c>
      <c r="J73" s="21">
        <v>0</v>
      </c>
      <c r="K73" s="21">
        <v>0</v>
      </c>
      <c r="L73" s="21">
        <v>0</v>
      </c>
      <c r="M73" s="21">
        <f t="shared" ref="M73:M75" si="45">SUM(E73:L73)</f>
        <v>0</v>
      </c>
    </row>
    <row r="74" spans="1:13" x14ac:dyDescent="0.25">
      <c r="A74" s="91"/>
      <c r="B74" s="81"/>
      <c r="C74" s="77"/>
      <c r="D74" s="20" t="s">
        <v>26</v>
      </c>
      <c r="E74" s="21">
        <v>2500</v>
      </c>
      <c r="F74" s="21">
        <v>2500</v>
      </c>
      <c r="G74" s="21">
        <v>2500</v>
      </c>
      <c r="H74" s="21">
        <v>0</v>
      </c>
      <c r="I74" s="21">
        <v>0</v>
      </c>
      <c r="J74" s="21">
        <v>0</v>
      </c>
      <c r="K74" s="21">
        <v>0</v>
      </c>
      <c r="L74" s="21">
        <v>0</v>
      </c>
      <c r="M74" s="21">
        <f t="shared" si="45"/>
        <v>7500</v>
      </c>
    </row>
    <row r="75" spans="1:13" x14ac:dyDescent="0.25">
      <c r="A75" s="91"/>
      <c r="B75" s="81"/>
      <c r="C75" s="78"/>
      <c r="D75" s="20" t="s">
        <v>27</v>
      </c>
      <c r="E75" s="21">
        <v>0</v>
      </c>
      <c r="F75" s="21">
        <v>0</v>
      </c>
      <c r="G75" s="21">
        <v>0</v>
      </c>
      <c r="H75" s="21">
        <v>0</v>
      </c>
      <c r="I75" s="21">
        <v>0</v>
      </c>
      <c r="J75" s="21">
        <v>0</v>
      </c>
      <c r="K75" s="21">
        <v>0</v>
      </c>
      <c r="L75" s="21">
        <v>0</v>
      </c>
      <c r="M75" s="21">
        <f t="shared" si="45"/>
        <v>0</v>
      </c>
    </row>
    <row r="76" spans="1:13" ht="15" customHeight="1" x14ac:dyDescent="0.25">
      <c r="A76" s="91"/>
      <c r="B76" s="81"/>
      <c r="C76" s="76" t="s">
        <v>37</v>
      </c>
      <c r="D76" s="20" t="s">
        <v>20</v>
      </c>
      <c r="E76" s="21">
        <f>E66+E71</f>
        <v>69119</v>
      </c>
      <c r="F76" s="21">
        <f t="shared" ref="F76:G77" si="46">F66+F71</f>
        <v>109805.79999999999</v>
      </c>
      <c r="G76" s="21">
        <f t="shared" si="46"/>
        <v>87637</v>
      </c>
      <c r="H76" s="21">
        <f t="shared" ref="H76:I76" si="47">H66+H71</f>
        <v>0</v>
      </c>
      <c r="I76" s="21">
        <f t="shared" si="47"/>
        <v>0</v>
      </c>
      <c r="J76" s="21">
        <f t="shared" ref="J76:L76" si="48">J66+J71</f>
        <v>0</v>
      </c>
      <c r="K76" s="21">
        <f t="shared" si="48"/>
        <v>0</v>
      </c>
      <c r="L76" s="21">
        <f t="shared" si="48"/>
        <v>0</v>
      </c>
      <c r="M76" s="21">
        <f t="shared" ref="M76" si="49">M66+M71</f>
        <v>266561.8</v>
      </c>
    </row>
    <row r="77" spans="1:13" x14ac:dyDescent="0.25">
      <c r="A77" s="91"/>
      <c r="B77" s="81"/>
      <c r="C77" s="77"/>
      <c r="D77" s="20" t="s">
        <v>24</v>
      </c>
      <c r="E77" s="21">
        <f>E67+E72</f>
        <v>0</v>
      </c>
      <c r="F77" s="21">
        <f t="shared" si="46"/>
        <v>0</v>
      </c>
      <c r="G77" s="21">
        <f t="shared" si="46"/>
        <v>0</v>
      </c>
      <c r="H77" s="21">
        <f t="shared" ref="H77:M80" si="50">H67+H72</f>
        <v>0</v>
      </c>
      <c r="I77" s="21">
        <f t="shared" si="50"/>
        <v>0</v>
      </c>
      <c r="J77" s="21">
        <f t="shared" ref="J77:L77" si="51">J67+J72</f>
        <v>0</v>
      </c>
      <c r="K77" s="21">
        <f t="shared" si="51"/>
        <v>0</v>
      </c>
      <c r="L77" s="21">
        <f t="shared" si="51"/>
        <v>0</v>
      </c>
      <c r="M77" s="21">
        <f t="shared" si="50"/>
        <v>0</v>
      </c>
    </row>
    <row r="78" spans="1:13" x14ac:dyDescent="0.25">
      <c r="A78" s="91"/>
      <c r="B78" s="81"/>
      <c r="C78" s="77"/>
      <c r="D78" s="20" t="s">
        <v>25</v>
      </c>
      <c r="E78" s="21">
        <f t="shared" ref="E78:G79" si="52">E68+E73</f>
        <v>12598.1</v>
      </c>
      <c r="F78" s="21">
        <f t="shared" si="52"/>
        <v>9327.7999999999993</v>
      </c>
      <c r="G78" s="21">
        <f t="shared" si="52"/>
        <v>3221.4</v>
      </c>
      <c r="H78" s="21">
        <f t="shared" si="50"/>
        <v>0</v>
      </c>
      <c r="I78" s="21">
        <f t="shared" si="50"/>
        <v>0</v>
      </c>
      <c r="J78" s="21">
        <f t="shared" ref="J78:L78" si="53">J68+J73</f>
        <v>0</v>
      </c>
      <c r="K78" s="21">
        <f t="shared" si="53"/>
        <v>0</v>
      </c>
      <c r="L78" s="21">
        <f t="shared" si="53"/>
        <v>0</v>
      </c>
      <c r="M78" s="21">
        <f t="shared" si="50"/>
        <v>25147.300000000003</v>
      </c>
    </row>
    <row r="79" spans="1:13" x14ac:dyDescent="0.25">
      <c r="A79" s="91"/>
      <c r="B79" s="81"/>
      <c r="C79" s="77"/>
      <c r="D79" s="20" t="s">
        <v>26</v>
      </c>
      <c r="E79" s="21">
        <f>E69+E74</f>
        <v>43148.5</v>
      </c>
      <c r="F79" s="21">
        <f>F69+F74</f>
        <v>82744.899999999994</v>
      </c>
      <c r="G79" s="21">
        <f t="shared" si="52"/>
        <v>64110.6</v>
      </c>
      <c r="H79" s="21">
        <f t="shared" si="50"/>
        <v>0</v>
      </c>
      <c r="I79" s="21">
        <f t="shared" si="50"/>
        <v>0</v>
      </c>
      <c r="J79" s="21">
        <f t="shared" ref="J79:L79" si="54">J69+J74</f>
        <v>0</v>
      </c>
      <c r="K79" s="21">
        <f t="shared" si="54"/>
        <v>0</v>
      </c>
      <c r="L79" s="21">
        <f t="shared" si="54"/>
        <v>0</v>
      </c>
      <c r="M79" s="21">
        <f t="shared" si="50"/>
        <v>190004</v>
      </c>
    </row>
    <row r="80" spans="1:13" x14ac:dyDescent="0.25">
      <c r="A80" s="92"/>
      <c r="B80" s="82"/>
      <c r="C80" s="78"/>
      <c r="D80" s="20" t="s">
        <v>27</v>
      </c>
      <c r="E80" s="21">
        <f t="shared" ref="E80:G80" si="55">E70+E75</f>
        <v>13372.4</v>
      </c>
      <c r="F80" s="21">
        <f t="shared" si="55"/>
        <v>17733.099999999999</v>
      </c>
      <c r="G80" s="21">
        <f t="shared" si="55"/>
        <v>20305</v>
      </c>
      <c r="H80" s="21">
        <f t="shared" si="50"/>
        <v>0</v>
      </c>
      <c r="I80" s="21">
        <f t="shared" si="50"/>
        <v>0</v>
      </c>
      <c r="J80" s="21">
        <f t="shared" ref="J80:L80" si="56">J70+J75</f>
        <v>0</v>
      </c>
      <c r="K80" s="21">
        <f t="shared" si="56"/>
        <v>0</v>
      </c>
      <c r="L80" s="21">
        <f t="shared" si="56"/>
        <v>0</v>
      </c>
      <c r="M80" s="21">
        <f t="shared" si="50"/>
        <v>51410.5</v>
      </c>
    </row>
    <row r="81" spans="1:14" x14ac:dyDescent="0.25">
      <c r="A81" s="90" t="s">
        <v>61</v>
      </c>
      <c r="B81" s="80" t="s">
        <v>74</v>
      </c>
      <c r="C81" s="76" t="s">
        <v>23</v>
      </c>
      <c r="D81" s="20" t="s">
        <v>20</v>
      </c>
      <c r="E81" s="21">
        <f t="shared" ref="E81:G81" si="57">E82+E83+E84+E85</f>
        <v>23322.799999999999</v>
      </c>
      <c r="F81" s="21">
        <f t="shared" si="57"/>
        <v>17092.099999999999</v>
      </c>
      <c r="G81" s="21">
        <f t="shared" si="57"/>
        <v>18068.699999999997</v>
      </c>
      <c r="H81" s="21">
        <f t="shared" ref="H81:M81" si="58">H82+H83+H84+H85</f>
        <v>10881.900000000001</v>
      </c>
      <c r="I81" s="21">
        <f t="shared" si="58"/>
        <v>10337.9</v>
      </c>
      <c r="J81" s="21">
        <f t="shared" si="58"/>
        <v>9949</v>
      </c>
      <c r="K81" s="21">
        <f t="shared" si="58"/>
        <v>9949</v>
      </c>
      <c r="L81" s="21">
        <f t="shared" si="58"/>
        <v>0</v>
      </c>
      <c r="M81" s="21">
        <f t="shared" si="58"/>
        <v>99601.4</v>
      </c>
      <c r="N81" s="23"/>
    </row>
    <row r="82" spans="1:14" x14ac:dyDescent="0.25">
      <c r="A82" s="91"/>
      <c r="B82" s="81"/>
      <c r="C82" s="77"/>
      <c r="D82" s="20" t="s">
        <v>24</v>
      </c>
      <c r="E82" s="21">
        <v>0</v>
      </c>
      <c r="F82" s="21">
        <v>0</v>
      </c>
      <c r="G82" s="21">
        <v>0</v>
      </c>
      <c r="H82" s="21">
        <v>0</v>
      </c>
      <c r="I82" s="21">
        <v>0</v>
      </c>
      <c r="J82" s="21">
        <v>0</v>
      </c>
      <c r="K82" s="21">
        <v>0</v>
      </c>
      <c r="L82" s="21">
        <v>0</v>
      </c>
      <c r="M82" s="21">
        <f>SUM(E82:L82)</f>
        <v>0</v>
      </c>
    </row>
    <row r="83" spans="1:14" x14ac:dyDescent="0.25">
      <c r="A83" s="91"/>
      <c r="B83" s="81"/>
      <c r="C83" s="77"/>
      <c r="D83" s="20" t="s">
        <v>25</v>
      </c>
      <c r="E83" s="21">
        <v>11661.4</v>
      </c>
      <c r="F83" s="21">
        <v>8546</v>
      </c>
      <c r="G83" s="21">
        <v>9034.2999999999993</v>
      </c>
      <c r="H83" s="21">
        <v>9793.7000000000007</v>
      </c>
      <c r="I83" s="21">
        <f>8954.1+350</f>
        <v>9304.1</v>
      </c>
      <c r="J83" s="21">
        <v>8954.1</v>
      </c>
      <c r="K83" s="21">
        <v>8954.1</v>
      </c>
      <c r="L83" s="21">
        <v>0</v>
      </c>
      <c r="M83" s="21">
        <f t="shared" ref="M83:M85" si="59">SUM(E83:L83)</f>
        <v>66247.7</v>
      </c>
    </row>
    <row r="84" spans="1:14" x14ac:dyDescent="0.25">
      <c r="A84" s="91"/>
      <c r="B84" s="81"/>
      <c r="C84" s="77"/>
      <c r="D84" s="20" t="s">
        <v>26</v>
      </c>
      <c r="E84" s="21">
        <v>11661.4</v>
      </c>
      <c r="F84" s="21">
        <v>8546.1</v>
      </c>
      <c r="G84" s="21">
        <v>9034.4</v>
      </c>
      <c r="H84" s="21">
        <f>9793.8-9793.8+1088.2</f>
        <v>1088.2</v>
      </c>
      <c r="I84" s="21">
        <f>994.9+38.9</f>
        <v>1033.8</v>
      </c>
      <c r="J84" s="21">
        <v>994.9</v>
      </c>
      <c r="K84" s="21">
        <v>994.9</v>
      </c>
      <c r="L84" s="21">
        <v>0</v>
      </c>
      <c r="M84" s="21">
        <f t="shared" si="59"/>
        <v>33353.700000000004</v>
      </c>
    </row>
    <row r="85" spans="1:14" x14ac:dyDescent="0.25">
      <c r="A85" s="92"/>
      <c r="B85" s="82"/>
      <c r="C85" s="78"/>
      <c r="D85" s="20" t="s">
        <v>27</v>
      </c>
      <c r="E85" s="21">
        <v>0</v>
      </c>
      <c r="F85" s="21">
        <v>0</v>
      </c>
      <c r="G85" s="21">
        <v>0</v>
      </c>
      <c r="H85" s="21">
        <v>0</v>
      </c>
      <c r="I85" s="21">
        <v>0</v>
      </c>
      <c r="J85" s="21">
        <v>0</v>
      </c>
      <c r="K85" s="21">
        <v>0</v>
      </c>
      <c r="L85" s="21">
        <v>0</v>
      </c>
      <c r="M85" s="21">
        <f t="shared" si="59"/>
        <v>0</v>
      </c>
    </row>
    <row r="86" spans="1:14" hidden="1" x14ac:dyDescent="0.25">
      <c r="A86" s="90" t="s">
        <v>67</v>
      </c>
      <c r="B86" s="80" t="s">
        <v>64</v>
      </c>
      <c r="C86" s="76" t="s">
        <v>23</v>
      </c>
      <c r="D86" s="20" t="s">
        <v>20</v>
      </c>
      <c r="E86" s="21">
        <f t="shared" ref="E86:G86" si="60">E87+E88+E89+E90</f>
        <v>0</v>
      </c>
      <c r="F86" s="21">
        <f t="shared" si="60"/>
        <v>0</v>
      </c>
      <c r="G86" s="21">
        <f t="shared" si="60"/>
        <v>0</v>
      </c>
      <c r="H86" s="21">
        <v>0</v>
      </c>
      <c r="I86" s="21">
        <f t="shared" ref="I86:J86" si="61">I87+I88+I89+I90</f>
        <v>0</v>
      </c>
      <c r="J86" s="21">
        <f t="shared" si="61"/>
        <v>0</v>
      </c>
      <c r="K86" s="21"/>
      <c r="L86" s="21"/>
      <c r="M86" s="21">
        <f t="shared" ref="M86:M95" si="62">SUM(E86:J86)</f>
        <v>0</v>
      </c>
    </row>
    <row r="87" spans="1:14" hidden="1" x14ac:dyDescent="0.25">
      <c r="A87" s="91"/>
      <c r="B87" s="81"/>
      <c r="C87" s="77"/>
      <c r="D87" s="20" t="s">
        <v>24</v>
      </c>
      <c r="E87" s="21">
        <v>0</v>
      </c>
      <c r="F87" s="21">
        <v>0</v>
      </c>
      <c r="G87" s="21">
        <v>0</v>
      </c>
      <c r="H87" s="21">
        <v>0</v>
      </c>
      <c r="I87" s="21">
        <v>0</v>
      </c>
      <c r="J87" s="21">
        <v>0</v>
      </c>
      <c r="K87" s="21"/>
      <c r="L87" s="21"/>
      <c r="M87" s="21">
        <f t="shared" si="62"/>
        <v>0</v>
      </c>
    </row>
    <row r="88" spans="1:14" hidden="1" x14ac:dyDescent="0.25">
      <c r="A88" s="91"/>
      <c r="B88" s="81"/>
      <c r="C88" s="77"/>
      <c r="D88" s="20" t="s">
        <v>25</v>
      </c>
      <c r="E88" s="21">
        <v>0</v>
      </c>
      <c r="F88" s="21">
        <v>0</v>
      </c>
      <c r="G88" s="21">
        <v>0</v>
      </c>
      <c r="H88" s="21">
        <v>0</v>
      </c>
      <c r="I88" s="21">
        <v>0</v>
      </c>
      <c r="J88" s="21">
        <v>0</v>
      </c>
      <c r="K88" s="21"/>
      <c r="L88" s="21"/>
      <c r="M88" s="21">
        <f t="shared" si="62"/>
        <v>0</v>
      </c>
    </row>
    <row r="89" spans="1:14" hidden="1" x14ac:dyDescent="0.25">
      <c r="A89" s="91"/>
      <c r="B89" s="81"/>
      <c r="C89" s="77"/>
      <c r="D89" s="20" t="s">
        <v>26</v>
      </c>
      <c r="E89" s="21">
        <v>0</v>
      </c>
      <c r="F89" s="21">
        <v>0</v>
      </c>
      <c r="G89" s="21">
        <v>0</v>
      </c>
      <c r="H89" s="21">
        <v>0</v>
      </c>
      <c r="I89" s="21"/>
      <c r="J89" s="21">
        <v>0</v>
      </c>
      <c r="K89" s="21"/>
      <c r="L89" s="21"/>
      <c r="M89" s="21">
        <f t="shared" si="62"/>
        <v>0</v>
      </c>
    </row>
    <row r="90" spans="1:14" hidden="1" x14ac:dyDescent="0.25">
      <c r="A90" s="92"/>
      <c r="B90" s="82"/>
      <c r="C90" s="78"/>
      <c r="D90" s="20" t="s">
        <v>27</v>
      </c>
      <c r="E90" s="21">
        <v>0</v>
      </c>
      <c r="F90" s="21">
        <v>0</v>
      </c>
      <c r="G90" s="21">
        <v>0</v>
      </c>
      <c r="H90" s="21">
        <v>0</v>
      </c>
      <c r="I90" s="21">
        <v>0</v>
      </c>
      <c r="J90" s="21">
        <v>0</v>
      </c>
      <c r="K90" s="21"/>
      <c r="L90" s="21"/>
      <c r="M90" s="21">
        <f t="shared" si="62"/>
        <v>0</v>
      </c>
    </row>
    <row r="91" spans="1:14" hidden="1" x14ac:dyDescent="0.25">
      <c r="A91" s="97">
        <v>11</v>
      </c>
      <c r="B91" s="98" t="s">
        <v>70</v>
      </c>
      <c r="C91" s="93" t="s">
        <v>23</v>
      </c>
      <c r="D91" s="44" t="s">
        <v>20</v>
      </c>
      <c r="E91" s="45">
        <v>0</v>
      </c>
      <c r="F91" s="45">
        <v>0</v>
      </c>
      <c r="G91" s="45">
        <v>0</v>
      </c>
      <c r="H91" s="45">
        <v>0</v>
      </c>
      <c r="I91" s="45">
        <v>0</v>
      </c>
      <c r="J91" s="45"/>
      <c r="K91" s="45"/>
      <c r="L91" s="45"/>
      <c r="M91" s="21">
        <f t="shared" si="62"/>
        <v>0</v>
      </c>
    </row>
    <row r="92" spans="1:14" hidden="1" x14ac:dyDescent="0.25">
      <c r="A92" s="97"/>
      <c r="B92" s="99"/>
      <c r="C92" s="93"/>
      <c r="D92" s="44" t="s">
        <v>24</v>
      </c>
      <c r="E92" s="45">
        <v>0</v>
      </c>
      <c r="F92" s="45">
        <v>0</v>
      </c>
      <c r="G92" s="45">
        <v>0</v>
      </c>
      <c r="H92" s="45">
        <v>0</v>
      </c>
      <c r="I92" s="45">
        <v>0</v>
      </c>
      <c r="J92" s="45">
        <v>0</v>
      </c>
      <c r="K92" s="45"/>
      <c r="L92" s="45"/>
      <c r="M92" s="21">
        <f t="shared" si="62"/>
        <v>0</v>
      </c>
    </row>
    <row r="93" spans="1:14" hidden="1" x14ac:dyDescent="0.25">
      <c r="A93" s="97"/>
      <c r="B93" s="99"/>
      <c r="C93" s="93"/>
      <c r="D93" s="44" t="s">
        <v>25</v>
      </c>
      <c r="E93" s="45">
        <v>0</v>
      </c>
      <c r="F93" s="45">
        <v>0</v>
      </c>
      <c r="G93" s="45">
        <v>0</v>
      </c>
      <c r="H93" s="45">
        <v>0</v>
      </c>
      <c r="I93" s="45">
        <v>0</v>
      </c>
      <c r="J93" s="45">
        <v>0</v>
      </c>
      <c r="K93" s="45"/>
      <c r="L93" s="45"/>
      <c r="M93" s="21">
        <f t="shared" si="62"/>
        <v>0</v>
      </c>
    </row>
    <row r="94" spans="1:14" hidden="1" x14ac:dyDescent="0.25">
      <c r="A94" s="97"/>
      <c r="B94" s="99"/>
      <c r="C94" s="93"/>
      <c r="D94" s="46" t="s">
        <v>26</v>
      </c>
      <c r="E94" s="45">
        <v>0</v>
      </c>
      <c r="F94" s="45">
        <v>0</v>
      </c>
      <c r="G94" s="45">
        <v>0</v>
      </c>
      <c r="H94" s="45">
        <v>0</v>
      </c>
      <c r="I94" s="45">
        <v>0</v>
      </c>
      <c r="J94" s="45"/>
      <c r="K94" s="45"/>
      <c r="L94" s="45"/>
      <c r="M94" s="21">
        <f t="shared" si="62"/>
        <v>0</v>
      </c>
    </row>
    <row r="95" spans="1:14" hidden="1" x14ac:dyDescent="0.25">
      <c r="A95" s="97"/>
      <c r="B95" s="100"/>
      <c r="C95" s="93"/>
      <c r="D95" s="44" t="s">
        <v>27</v>
      </c>
      <c r="E95" s="45">
        <v>0</v>
      </c>
      <c r="F95" s="45">
        <v>0</v>
      </c>
      <c r="G95" s="45">
        <v>0</v>
      </c>
      <c r="H95" s="45">
        <v>0</v>
      </c>
      <c r="I95" s="45">
        <v>0</v>
      </c>
      <c r="J95" s="45">
        <v>0</v>
      </c>
      <c r="K95" s="45"/>
      <c r="L95" s="45"/>
      <c r="M95" s="21">
        <f t="shared" si="62"/>
        <v>0</v>
      </c>
    </row>
    <row r="96" spans="1:14" x14ac:dyDescent="0.25">
      <c r="A96" s="90" t="s">
        <v>67</v>
      </c>
      <c r="B96" s="80" t="s">
        <v>83</v>
      </c>
      <c r="C96" s="76" t="s">
        <v>23</v>
      </c>
      <c r="D96" s="20" t="s">
        <v>20</v>
      </c>
      <c r="E96" s="21">
        <f t="shared" ref="E96:G96" si="63">E97+E98+E99+E100</f>
        <v>0</v>
      </c>
      <c r="F96" s="21">
        <f t="shared" si="63"/>
        <v>0</v>
      </c>
      <c r="G96" s="21">
        <f t="shared" si="63"/>
        <v>12842.2</v>
      </c>
      <c r="H96" s="21">
        <f t="shared" ref="H96:M96" si="64">H97+H98+H99+H100</f>
        <v>3579</v>
      </c>
      <c r="I96" s="21">
        <f t="shared" si="64"/>
        <v>2094.3000000000002</v>
      </c>
      <c r="J96" s="21">
        <f t="shared" si="64"/>
        <v>0</v>
      </c>
      <c r="K96" s="21">
        <f t="shared" si="64"/>
        <v>0</v>
      </c>
      <c r="L96" s="21">
        <f t="shared" si="64"/>
        <v>0</v>
      </c>
      <c r="M96" s="21">
        <f t="shared" si="64"/>
        <v>18515.5</v>
      </c>
    </row>
    <row r="97" spans="1:13" x14ac:dyDescent="0.25">
      <c r="A97" s="91"/>
      <c r="B97" s="81"/>
      <c r="C97" s="77"/>
      <c r="D97" s="20" t="s">
        <v>24</v>
      </c>
      <c r="E97" s="21">
        <v>0</v>
      </c>
      <c r="F97" s="21">
        <v>0</v>
      </c>
      <c r="G97" s="21">
        <v>0</v>
      </c>
      <c r="H97" s="21">
        <v>0</v>
      </c>
      <c r="I97" s="21">
        <v>0</v>
      </c>
      <c r="J97" s="21">
        <v>0</v>
      </c>
      <c r="K97" s="21">
        <v>0</v>
      </c>
      <c r="L97" s="21">
        <v>0</v>
      </c>
      <c r="M97" s="21">
        <f>SUM(E97:L97)</f>
        <v>0</v>
      </c>
    </row>
    <row r="98" spans="1:13" x14ac:dyDescent="0.25">
      <c r="A98" s="91"/>
      <c r="B98" s="81"/>
      <c r="C98" s="77"/>
      <c r="D98" s="20" t="s">
        <v>25</v>
      </c>
      <c r="E98" s="21">
        <v>0</v>
      </c>
      <c r="F98" s="21">
        <v>0</v>
      </c>
      <c r="G98" s="21">
        <v>12200</v>
      </c>
      <c r="H98" s="21">
        <v>3400</v>
      </c>
      <c r="I98" s="21">
        <v>1989.5</v>
      </c>
      <c r="J98" s="21">
        <v>0</v>
      </c>
      <c r="K98" s="21">
        <v>0</v>
      </c>
      <c r="L98" s="21">
        <v>0</v>
      </c>
      <c r="M98" s="21">
        <f t="shared" ref="M98:M100" si="65">SUM(E98:L98)</f>
        <v>17589.5</v>
      </c>
    </row>
    <row r="99" spans="1:13" x14ac:dyDescent="0.25">
      <c r="A99" s="91"/>
      <c r="B99" s="81"/>
      <c r="C99" s="77"/>
      <c r="D99" s="20" t="s">
        <v>26</v>
      </c>
      <c r="E99" s="21">
        <v>0</v>
      </c>
      <c r="F99" s="21">
        <v>0</v>
      </c>
      <c r="G99" s="21">
        <v>642.20000000000005</v>
      </c>
      <c r="H99" s="21">
        <v>179</v>
      </c>
      <c r="I99" s="21">
        <v>104.8</v>
      </c>
      <c r="J99" s="21">
        <v>0</v>
      </c>
      <c r="K99" s="21">
        <v>0</v>
      </c>
      <c r="L99" s="21">
        <v>0</v>
      </c>
      <c r="M99" s="21">
        <f t="shared" si="65"/>
        <v>926</v>
      </c>
    </row>
    <row r="100" spans="1:13" x14ac:dyDescent="0.25">
      <c r="A100" s="92"/>
      <c r="B100" s="82"/>
      <c r="C100" s="78"/>
      <c r="D100" s="20" t="s">
        <v>27</v>
      </c>
      <c r="E100" s="21">
        <v>0</v>
      </c>
      <c r="F100" s="21">
        <v>0</v>
      </c>
      <c r="G100" s="21">
        <v>0</v>
      </c>
      <c r="H100" s="21">
        <v>0</v>
      </c>
      <c r="I100" s="21">
        <v>0</v>
      </c>
      <c r="J100" s="21">
        <v>0</v>
      </c>
      <c r="K100" s="21">
        <v>0</v>
      </c>
      <c r="L100" s="21">
        <v>0</v>
      </c>
      <c r="M100" s="21">
        <f t="shared" si="65"/>
        <v>0</v>
      </c>
    </row>
    <row r="101" spans="1:13" x14ac:dyDescent="0.25">
      <c r="A101" s="90" t="s">
        <v>79</v>
      </c>
      <c r="B101" s="80" t="s">
        <v>80</v>
      </c>
      <c r="C101" s="76" t="s">
        <v>23</v>
      </c>
      <c r="D101" s="20" t="s">
        <v>20</v>
      </c>
      <c r="E101" s="21">
        <f t="shared" ref="E101:G101" si="66">E102+E103+E104+E105</f>
        <v>0</v>
      </c>
      <c r="F101" s="21">
        <f t="shared" si="66"/>
        <v>0</v>
      </c>
      <c r="G101" s="21">
        <f t="shared" si="66"/>
        <v>10060.5</v>
      </c>
      <c r="H101" s="21">
        <f t="shared" ref="H101:M101" si="67">H102+H103+H104+H105</f>
        <v>11293.470000000001</v>
      </c>
      <c r="I101" s="21">
        <f t="shared" si="67"/>
        <v>11907.84</v>
      </c>
      <c r="J101" s="21">
        <f t="shared" si="67"/>
        <v>11907.8</v>
      </c>
      <c r="K101" s="21">
        <f t="shared" si="67"/>
        <v>11907.8</v>
      </c>
      <c r="L101" s="21">
        <f t="shared" si="67"/>
        <v>11907.8</v>
      </c>
      <c r="M101" s="21">
        <f t="shared" si="67"/>
        <v>68985.210000000006</v>
      </c>
    </row>
    <row r="102" spans="1:13" x14ac:dyDescent="0.25">
      <c r="A102" s="91"/>
      <c r="B102" s="81"/>
      <c r="C102" s="77"/>
      <c r="D102" s="20" t="s">
        <v>24</v>
      </c>
      <c r="E102" s="21">
        <v>0</v>
      </c>
      <c r="F102" s="21">
        <v>0</v>
      </c>
      <c r="G102" s="21">
        <v>177.3</v>
      </c>
      <c r="H102" s="21">
        <v>236.1</v>
      </c>
      <c r="I102" s="21">
        <v>0</v>
      </c>
      <c r="J102" s="21">
        <v>0</v>
      </c>
      <c r="K102" s="21">
        <v>0</v>
      </c>
      <c r="L102" s="21">
        <v>0</v>
      </c>
      <c r="M102" s="21">
        <f>SUM(E102:L102)</f>
        <v>413.4</v>
      </c>
    </row>
    <row r="103" spans="1:13" x14ac:dyDescent="0.25">
      <c r="A103" s="91"/>
      <c r="B103" s="81"/>
      <c r="C103" s="77"/>
      <c r="D103" s="20" t="s">
        <v>25</v>
      </c>
      <c r="E103" s="21">
        <v>0</v>
      </c>
      <c r="F103" s="21">
        <v>0</v>
      </c>
      <c r="G103" s="21">
        <v>0</v>
      </c>
      <c r="H103" s="21">
        <v>0</v>
      </c>
      <c r="I103" s="21">
        <v>0</v>
      </c>
      <c r="J103" s="21">
        <v>0</v>
      </c>
      <c r="K103" s="21">
        <v>0</v>
      </c>
      <c r="L103" s="21">
        <v>0</v>
      </c>
      <c r="M103" s="21">
        <f t="shared" ref="M103:M105" si="68">SUM(E103:L103)</f>
        <v>0</v>
      </c>
    </row>
    <row r="104" spans="1:13" x14ac:dyDescent="0.25">
      <c r="A104" s="91"/>
      <c r="B104" s="81"/>
      <c r="C104" s="77"/>
      <c r="D104" s="20" t="s">
        <v>26</v>
      </c>
      <c r="E104" s="21">
        <v>0</v>
      </c>
      <c r="F104" s="21">
        <v>0</v>
      </c>
      <c r="G104" s="21">
        <f>10546.1-662.9</f>
        <v>9883.2000000000007</v>
      </c>
      <c r="H104" s="21">
        <v>11057.37</v>
      </c>
      <c r="I104" s="21">
        <f>11057.4+850.4+0.04</f>
        <v>11907.84</v>
      </c>
      <c r="J104" s="21">
        <f t="shared" ref="J104:L104" si="69">11057.4+850.4</f>
        <v>11907.8</v>
      </c>
      <c r="K104" s="21">
        <f t="shared" si="69"/>
        <v>11907.8</v>
      </c>
      <c r="L104" s="21">
        <f t="shared" si="69"/>
        <v>11907.8</v>
      </c>
      <c r="M104" s="21">
        <f t="shared" si="68"/>
        <v>68571.810000000012</v>
      </c>
    </row>
    <row r="105" spans="1:13" x14ac:dyDescent="0.25">
      <c r="A105" s="92"/>
      <c r="B105" s="82"/>
      <c r="C105" s="78"/>
      <c r="D105" s="20" t="s">
        <v>27</v>
      </c>
      <c r="E105" s="21">
        <v>0</v>
      </c>
      <c r="F105" s="21">
        <v>0</v>
      </c>
      <c r="G105" s="21">
        <v>0</v>
      </c>
      <c r="H105" s="21">
        <v>0</v>
      </c>
      <c r="I105" s="21">
        <v>0</v>
      </c>
      <c r="J105" s="21">
        <v>0</v>
      </c>
      <c r="K105" s="21">
        <v>0</v>
      </c>
      <c r="L105" s="21">
        <v>0</v>
      </c>
      <c r="M105" s="21">
        <f t="shared" si="68"/>
        <v>0</v>
      </c>
    </row>
    <row r="106" spans="1:13" ht="15" customHeight="1" x14ac:dyDescent="0.25">
      <c r="A106" s="90" t="s">
        <v>81</v>
      </c>
      <c r="B106" s="80" t="s">
        <v>82</v>
      </c>
      <c r="C106" s="76" t="s">
        <v>23</v>
      </c>
      <c r="D106" s="20" t="s">
        <v>20</v>
      </c>
      <c r="E106" s="21">
        <f t="shared" ref="E106:M106" si="70">E107+E108+E109+E110</f>
        <v>0</v>
      </c>
      <c r="F106" s="21">
        <f t="shared" si="70"/>
        <v>0</v>
      </c>
      <c r="G106" s="21">
        <f t="shared" ref="G106" si="71">G107+G108+G109+G110</f>
        <v>0</v>
      </c>
      <c r="H106" s="21">
        <f t="shared" si="70"/>
        <v>171501.64</v>
      </c>
      <c r="I106" s="21">
        <f t="shared" si="70"/>
        <v>196492.79999999999</v>
      </c>
      <c r="J106" s="21">
        <f t="shared" si="70"/>
        <v>196434.7</v>
      </c>
      <c r="K106" s="21">
        <f t="shared" si="70"/>
        <v>203436.2</v>
      </c>
      <c r="L106" s="21">
        <f t="shared" si="70"/>
        <v>203936.2</v>
      </c>
      <c r="M106" s="21">
        <f t="shared" si="70"/>
        <v>971801.54</v>
      </c>
    </row>
    <row r="107" spans="1:13" x14ac:dyDescent="0.25">
      <c r="A107" s="91"/>
      <c r="B107" s="81"/>
      <c r="C107" s="77"/>
      <c r="D107" s="20" t="s">
        <v>24</v>
      </c>
      <c r="E107" s="21">
        <v>0</v>
      </c>
      <c r="F107" s="21">
        <v>0</v>
      </c>
      <c r="G107" s="21">
        <v>0</v>
      </c>
      <c r="H107" s="21">
        <v>0</v>
      </c>
      <c r="I107" s="21">
        <v>0</v>
      </c>
      <c r="J107" s="21">
        <v>0</v>
      </c>
      <c r="K107" s="21">
        <v>0</v>
      </c>
      <c r="L107" s="21">
        <v>0</v>
      </c>
      <c r="M107" s="21">
        <f>SUM(E107:L107)</f>
        <v>0</v>
      </c>
    </row>
    <row r="108" spans="1:13" x14ac:dyDescent="0.25">
      <c r="A108" s="91"/>
      <c r="B108" s="81"/>
      <c r="C108" s="77"/>
      <c r="D108" s="20" t="s">
        <v>25</v>
      </c>
      <c r="E108" s="21">
        <v>0</v>
      </c>
      <c r="F108" s="21">
        <v>0</v>
      </c>
      <c r="G108" s="21">
        <v>0</v>
      </c>
      <c r="H108" s="21">
        <v>63175.94</v>
      </c>
      <c r="I108" s="21">
        <v>100803.7</v>
      </c>
      <c r="J108" s="21">
        <v>105623.1</v>
      </c>
      <c r="K108" s="21">
        <v>110267.3</v>
      </c>
      <c r="L108" s="21">
        <v>0</v>
      </c>
      <c r="M108" s="21">
        <f t="shared" ref="M108:M110" si="72">SUM(E108:L108)</f>
        <v>379870.04</v>
      </c>
    </row>
    <row r="109" spans="1:13" x14ac:dyDescent="0.25">
      <c r="A109" s="91"/>
      <c r="B109" s="81"/>
      <c r="C109" s="77"/>
      <c r="D109" s="20" t="s">
        <v>26</v>
      </c>
      <c r="E109" s="21">
        <v>0</v>
      </c>
      <c r="F109" s="21">
        <v>0</v>
      </c>
      <c r="G109" s="21">
        <v>0</v>
      </c>
      <c r="H109" s="21">
        <v>72925.7</v>
      </c>
      <c r="I109" s="21">
        <f>52213.9+7375.2</f>
        <v>59589.1</v>
      </c>
      <c r="J109" s="21">
        <v>53911.6</v>
      </c>
      <c r="K109" s="21">
        <v>55668.9</v>
      </c>
      <c r="L109" s="21">
        <f>55668.9+110267.3</f>
        <v>165936.20000000001</v>
      </c>
      <c r="M109" s="21">
        <f t="shared" si="72"/>
        <v>408031.5</v>
      </c>
    </row>
    <row r="110" spans="1:13" x14ac:dyDescent="0.25">
      <c r="A110" s="91"/>
      <c r="B110" s="81"/>
      <c r="C110" s="78"/>
      <c r="D110" s="20" t="s">
        <v>27</v>
      </c>
      <c r="E110" s="21">
        <v>0</v>
      </c>
      <c r="F110" s="21">
        <v>0</v>
      </c>
      <c r="G110" s="21">
        <v>0</v>
      </c>
      <c r="H110" s="21">
        <v>35400</v>
      </c>
      <c r="I110" s="21">
        <f>20700+15400</f>
        <v>36100</v>
      </c>
      <c r="J110" s="21">
        <f>20900+16000</f>
        <v>36900</v>
      </c>
      <c r="K110" s="21">
        <v>37500</v>
      </c>
      <c r="L110" s="21">
        <v>38000</v>
      </c>
      <c r="M110" s="21">
        <f t="shared" si="72"/>
        <v>183900</v>
      </c>
    </row>
    <row r="111" spans="1:13" x14ac:dyDescent="0.25">
      <c r="A111" s="91"/>
      <c r="B111" s="81"/>
      <c r="C111" s="76" t="s">
        <v>68</v>
      </c>
      <c r="D111" s="20" t="s">
        <v>20</v>
      </c>
      <c r="E111" s="21">
        <f t="shared" ref="E111:L111" si="73">E112+E113+E114+E115</f>
        <v>0</v>
      </c>
      <c r="F111" s="21">
        <f t="shared" si="73"/>
        <v>0</v>
      </c>
      <c r="G111" s="21">
        <f t="shared" si="73"/>
        <v>0</v>
      </c>
      <c r="H111" s="21">
        <f t="shared" si="73"/>
        <v>0</v>
      </c>
      <c r="I111" s="21">
        <f t="shared" si="73"/>
        <v>200000</v>
      </c>
      <c r="J111" s="21">
        <f t="shared" si="73"/>
        <v>220386.09999999998</v>
      </c>
      <c r="K111" s="21">
        <f t="shared" si="73"/>
        <v>0</v>
      </c>
      <c r="L111" s="21">
        <f t="shared" si="73"/>
        <v>0</v>
      </c>
      <c r="M111" s="21">
        <f>M112+M113+M114+M115</f>
        <v>420386.10000000003</v>
      </c>
    </row>
    <row r="112" spans="1:13" x14ac:dyDescent="0.25">
      <c r="A112" s="91"/>
      <c r="B112" s="81"/>
      <c r="C112" s="77"/>
      <c r="D112" s="20" t="s">
        <v>24</v>
      </c>
      <c r="E112" s="21">
        <v>0</v>
      </c>
      <c r="F112" s="21">
        <v>0</v>
      </c>
      <c r="G112" s="21">
        <v>0</v>
      </c>
      <c r="H112" s="21">
        <v>0</v>
      </c>
      <c r="I112" s="21">
        <v>0</v>
      </c>
      <c r="J112" s="21">
        <v>0</v>
      </c>
      <c r="K112" s="21">
        <v>0</v>
      </c>
      <c r="L112" s="21">
        <v>0</v>
      </c>
      <c r="M112" s="21">
        <f>SUM(E112:L112)</f>
        <v>0</v>
      </c>
    </row>
    <row r="113" spans="1:13" x14ac:dyDescent="0.25">
      <c r="A113" s="91"/>
      <c r="B113" s="81"/>
      <c r="C113" s="77"/>
      <c r="D113" s="20" t="s">
        <v>25</v>
      </c>
      <c r="E113" s="21">
        <v>0</v>
      </c>
      <c r="F113" s="21">
        <v>0</v>
      </c>
      <c r="G113" s="21">
        <v>0</v>
      </c>
      <c r="H113" s="21">
        <v>0</v>
      </c>
      <c r="I113" s="21">
        <v>180000</v>
      </c>
      <c r="J113" s="21">
        <v>185971.9</v>
      </c>
      <c r="K113" s="21">
        <v>0</v>
      </c>
      <c r="L113" s="21">
        <v>0</v>
      </c>
      <c r="M113" s="21">
        <f t="shared" ref="M113:M115" si="74">SUM(E113:L113)</f>
        <v>365971.9</v>
      </c>
    </row>
    <row r="114" spans="1:13" x14ac:dyDescent="0.25">
      <c r="A114" s="91"/>
      <c r="B114" s="81"/>
      <c r="C114" s="77"/>
      <c r="D114" s="20" t="s">
        <v>26</v>
      </c>
      <c r="E114" s="21">
        <v>0</v>
      </c>
      <c r="F114" s="21">
        <v>0</v>
      </c>
      <c r="G114" s="21">
        <v>0</v>
      </c>
      <c r="H114" s="21">
        <v>0</v>
      </c>
      <c r="I114" s="21">
        <v>20000</v>
      </c>
      <c r="J114" s="21">
        <v>34414.199999999997</v>
      </c>
      <c r="K114" s="21">
        <v>0</v>
      </c>
      <c r="L114" s="21">
        <v>0</v>
      </c>
      <c r="M114" s="21">
        <f t="shared" si="74"/>
        <v>54414.2</v>
      </c>
    </row>
    <row r="115" spans="1:13" x14ac:dyDescent="0.25">
      <c r="A115" s="91"/>
      <c r="B115" s="81"/>
      <c r="C115" s="78"/>
      <c r="D115" s="20" t="s">
        <v>27</v>
      </c>
      <c r="E115" s="21">
        <v>0</v>
      </c>
      <c r="F115" s="21">
        <v>0</v>
      </c>
      <c r="G115" s="21">
        <v>0</v>
      </c>
      <c r="H115" s="21">
        <v>0</v>
      </c>
      <c r="I115" s="21">
        <v>0</v>
      </c>
      <c r="J115" s="21">
        <v>0</v>
      </c>
      <c r="K115" s="21">
        <v>0</v>
      </c>
      <c r="L115" s="21">
        <v>0</v>
      </c>
      <c r="M115" s="21">
        <f t="shared" si="74"/>
        <v>0</v>
      </c>
    </row>
    <row r="116" spans="1:13" x14ac:dyDescent="0.25">
      <c r="A116" s="91"/>
      <c r="B116" s="81"/>
      <c r="C116" s="76" t="s">
        <v>37</v>
      </c>
      <c r="D116" s="20" t="s">
        <v>20</v>
      </c>
      <c r="E116" s="21">
        <f>E106+E111</f>
        <v>0</v>
      </c>
      <c r="F116" s="21">
        <f t="shared" ref="F116:H116" si="75">F106+F111</f>
        <v>0</v>
      </c>
      <c r="G116" s="21">
        <f t="shared" si="75"/>
        <v>0</v>
      </c>
      <c r="H116" s="21">
        <f t="shared" si="75"/>
        <v>171501.64</v>
      </c>
      <c r="I116" s="21">
        <f t="shared" ref="I116:L116" si="76">I106+I111</f>
        <v>396492.79999999999</v>
      </c>
      <c r="J116" s="21">
        <f t="shared" si="76"/>
        <v>416820.8</v>
      </c>
      <c r="K116" s="21">
        <f t="shared" si="76"/>
        <v>203436.2</v>
      </c>
      <c r="L116" s="21">
        <f t="shared" si="76"/>
        <v>203936.2</v>
      </c>
      <c r="M116" s="21">
        <f t="shared" ref="M116" si="77">M106+M111</f>
        <v>1392187.6400000001</v>
      </c>
    </row>
    <row r="117" spans="1:13" x14ac:dyDescent="0.25">
      <c r="A117" s="91"/>
      <c r="B117" s="81"/>
      <c r="C117" s="77"/>
      <c r="D117" s="20" t="s">
        <v>24</v>
      </c>
      <c r="E117" s="21">
        <f>E107+E112</f>
        <v>0</v>
      </c>
      <c r="F117" s="21">
        <f t="shared" ref="F117:H117" si="78">F107+F112</f>
        <v>0</v>
      </c>
      <c r="G117" s="21">
        <f t="shared" si="78"/>
        <v>0</v>
      </c>
      <c r="H117" s="21">
        <f t="shared" si="78"/>
        <v>0</v>
      </c>
      <c r="I117" s="21">
        <f t="shared" ref="I117:L117" si="79">I107+I112</f>
        <v>0</v>
      </c>
      <c r="J117" s="21">
        <f t="shared" si="79"/>
        <v>0</v>
      </c>
      <c r="K117" s="21">
        <f t="shared" si="79"/>
        <v>0</v>
      </c>
      <c r="L117" s="21">
        <f t="shared" si="79"/>
        <v>0</v>
      </c>
      <c r="M117" s="21">
        <f t="shared" ref="M117" si="80">M107+M112</f>
        <v>0</v>
      </c>
    </row>
    <row r="118" spans="1:13" x14ac:dyDescent="0.25">
      <c r="A118" s="91"/>
      <c r="B118" s="81"/>
      <c r="C118" s="77"/>
      <c r="D118" s="20" t="s">
        <v>25</v>
      </c>
      <c r="E118" s="21">
        <f t="shared" ref="E118:H118" si="81">E108+E113</f>
        <v>0</v>
      </c>
      <c r="F118" s="21">
        <f t="shared" si="81"/>
        <v>0</v>
      </c>
      <c r="G118" s="21">
        <f t="shared" si="81"/>
        <v>0</v>
      </c>
      <c r="H118" s="21">
        <f t="shared" si="81"/>
        <v>63175.94</v>
      </c>
      <c r="I118" s="21">
        <f t="shared" ref="I118:L118" si="82">I108+I113</f>
        <v>280803.7</v>
      </c>
      <c r="J118" s="21">
        <f t="shared" si="82"/>
        <v>291595</v>
      </c>
      <c r="K118" s="21">
        <f t="shared" si="82"/>
        <v>110267.3</v>
      </c>
      <c r="L118" s="21">
        <f t="shared" si="82"/>
        <v>0</v>
      </c>
      <c r="M118" s="21">
        <f t="shared" ref="M118" si="83">M108+M113</f>
        <v>745841.94</v>
      </c>
    </row>
    <row r="119" spans="1:13" x14ac:dyDescent="0.25">
      <c r="A119" s="91"/>
      <c r="B119" s="81"/>
      <c r="C119" s="77"/>
      <c r="D119" s="20" t="s">
        <v>26</v>
      </c>
      <c r="E119" s="21">
        <f>E109+E114</f>
        <v>0</v>
      </c>
      <c r="F119" s="21">
        <f>F109+F114</f>
        <v>0</v>
      </c>
      <c r="G119" s="21">
        <f t="shared" ref="G119:H119" si="84">G109+G114</f>
        <v>0</v>
      </c>
      <c r="H119" s="21">
        <f t="shared" si="84"/>
        <v>72925.7</v>
      </c>
      <c r="I119" s="21">
        <f t="shared" ref="I119:L119" si="85">I109+I114</f>
        <v>79589.100000000006</v>
      </c>
      <c r="J119" s="21">
        <f t="shared" si="85"/>
        <v>88325.799999999988</v>
      </c>
      <c r="K119" s="21">
        <f t="shared" si="85"/>
        <v>55668.9</v>
      </c>
      <c r="L119" s="21">
        <f t="shared" si="85"/>
        <v>165936.20000000001</v>
      </c>
      <c r="M119" s="21">
        <f t="shared" ref="M119" si="86">M109+M114</f>
        <v>462445.7</v>
      </c>
    </row>
    <row r="120" spans="1:13" x14ac:dyDescent="0.25">
      <c r="A120" s="92"/>
      <c r="B120" s="82"/>
      <c r="C120" s="78"/>
      <c r="D120" s="20" t="s">
        <v>27</v>
      </c>
      <c r="E120" s="21">
        <f t="shared" ref="E120:H120" si="87">E110+E115</f>
        <v>0</v>
      </c>
      <c r="F120" s="21">
        <f t="shared" si="87"/>
        <v>0</v>
      </c>
      <c r="G120" s="21">
        <f t="shared" si="87"/>
        <v>0</v>
      </c>
      <c r="H120" s="21">
        <f t="shared" si="87"/>
        <v>35400</v>
      </c>
      <c r="I120" s="21">
        <f t="shared" ref="I120:L120" si="88">I110+I115</f>
        <v>36100</v>
      </c>
      <c r="J120" s="21">
        <f t="shared" si="88"/>
        <v>36900</v>
      </c>
      <c r="K120" s="21">
        <f t="shared" si="88"/>
        <v>37500</v>
      </c>
      <c r="L120" s="21">
        <f t="shared" si="88"/>
        <v>38000</v>
      </c>
      <c r="M120" s="21">
        <f t="shared" ref="M120" si="89">M110+M115</f>
        <v>183900</v>
      </c>
    </row>
    <row r="121" spans="1:13" x14ac:dyDescent="0.25">
      <c r="A121" s="101" t="s">
        <v>69</v>
      </c>
      <c r="B121" s="102"/>
      <c r="C121" s="76" t="s">
        <v>23</v>
      </c>
      <c r="D121" s="39" t="s">
        <v>20</v>
      </c>
      <c r="E121" s="21">
        <f>SUM(E122:E125)</f>
        <v>212875.19999999998</v>
      </c>
      <c r="F121" s="21">
        <f t="shared" ref="F121:L121" si="90">SUM(F122:F125)</f>
        <v>308113.95199999999</v>
      </c>
      <c r="G121" s="21">
        <f t="shared" si="90"/>
        <v>273822.70000000007</v>
      </c>
      <c r="H121" s="21">
        <f t="shared" si="90"/>
        <v>403533.17000000004</v>
      </c>
      <c r="I121" s="21">
        <f t="shared" si="90"/>
        <v>495778.74</v>
      </c>
      <c r="J121" s="21">
        <f t="shared" si="90"/>
        <v>361037.4</v>
      </c>
      <c r="K121" s="21">
        <f t="shared" si="90"/>
        <v>368738.9</v>
      </c>
      <c r="L121" s="21">
        <f t="shared" si="90"/>
        <v>356989.9</v>
      </c>
      <c r="M121" s="21">
        <f>SUM(M122:M125)</f>
        <v>2780889.9619999998</v>
      </c>
    </row>
    <row r="122" spans="1:13" x14ac:dyDescent="0.25">
      <c r="A122" s="103"/>
      <c r="B122" s="104"/>
      <c r="C122" s="77"/>
      <c r="D122" s="39" t="s">
        <v>24</v>
      </c>
      <c r="E122" s="21">
        <f>E17+E22+E27+E47+E52+E57+E62+E67+E82+E97+E102+E107</f>
        <v>0</v>
      </c>
      <c r="F122" s="21">
        <f t="shared" ref="F122:L122" si="91">F17+F22+F27+F47+F52+F57+F62+F67+F82+F97+F102+F107</f>
        <v>0</v>
      </c>
      <c r="G122" s="21">
        <f t="shared" si="91"/>
        <v>177.3</v>
      </c>
      <c r="H122" s="21">
        <f t="shared" si="91"/>
        <v>236.1</v>
      </c>
      <c r="I122" s="21">
        <f t="shared" si="91"/>
        <v>0</v>
      </c>
      <c r="J122" s="21">
        <f t="shared" si="91"/>
        <v>0</v>
      </c>
      <c r="K122" s="21">
        <f t="shared" si="91"/>
        <v>0</v>
      </c>
      <c r="L122" s="21">
        <f t="shared" si="91"/>
        <v>0</v>
      </c>
      <c r="M122" s="21">
        <f>SUM(E122:L122)</f>
        <v>413.4</v>
      </c>
    </row>
    <row r="123" spans="1:13" x14ac:dyDescent="0.25">
      <c r="A123" s="103"/>
      <c r="B123" s="104"/>
      <c r="C123" s="77"/>
      <c r="D123" s="39" t="s">
        <v>25</v>
      </c>
      <c r="E123" s="21">
        <f>E18+E23+E28+E48+E53+E58+E63+E68+E83+E98+E103+E108</f>
        <v>27125.4</v>
      </c>
      <c r="F123" s="21">
        <f t="shared" ref="F123:L123" si="92">F18+F23+F28+F48+F53+F58+F63+F68+F83+F98+F103+F108</f>
        <v>64052.899999999994</v>
      </c>
      <c r="G123" s="21">
        <f t="shared" si="92"/>
        <v>27265.9</v>
      </c>
      <c r="H123" s="21">
        <f t="shared" si="92"/>
        <v>83368.700000000012</v>
      </c>
      <c r="I123" s="21">
        <f t="shared" si="92"/>
        <v>234827.3</v>
      </c>
      <c r="J123" s="21">
        <f t="shared" si="92"/>
        <v>120532.20000000001</v>
      </c>
      <c r="K123" s="21">
        <f t="shared" si="92"/>
        <v>125176.40000000001</v>
      </c>
      <c r="L123" s="21">
        <f t="shared" si="92"/>
        <v>0</v>
      </c>
      <c r="M123" s="21">
        <f t="shared" ref="M123:M125" si="93">SUM(E123:L123)</f>
        <v>682348.79999999993</v>
      </c>
    </row>
    <row r="124" spans="1:13" x14ac:dyDescent="0.25">
      <c r="A124" s="103"/>
      <c r="B124" s="104"/>
      <c r="C124" s="77"/>
      <c r="D124" s="39" t="s">
        <v>26</v>
      </c>
      <c r="E124" s="21">
        <f t="shared" ref="E124:L124" si="94">E19+E24+E29+E49+E54+E59+E64+E69+E84+E99+E104+E109</f>
        <v>125288.29999999999</v>
      </c>
      <c r="F124" s="21">
        <f t="shared" si="94"/>
        <v>171189.6</v>
      </c>
      <c r="G124" s="21">
        <f t="shared" si="94"/>
        <v>177624.50000000003</v>
      </c>
      <c r="H124" s="21">
        <f t="shared" si="94"/>
        <v>236428.37</v>
      </c>
      <c r="I124" s="21">
        <f t="shared" si="94"/>
        <v>176201.44</v>
      </c>
      <c r="J124" s="21">
        <f t="shared" si="94"/>
        <v>154405.20000000001</v>
      </c>
      <c r="K124" s="21">
        <f t="shared" si="94"/>
        <v>156162.5</v>
      </c>
      <c r="L124" s="21">
        <f t="shared" si="94"/>
        <v>268389.90000000002</v>
      </c>
      <c r="M124" s="21">
        <f t="shared" si="93"/>
        <v>1465689.81</v>
      </c>
    </row>
    <row r="125" spans="1:13" x14ac:dyDescent="0.25">
      <c r="A125" s="103"/>
      <c r="B125" s="104"/>
      <c r="C125" s="78"/>
      <c r="D125" s="39" t="s">
        <v>27</v>
      </c>
      <c r="E125" s="21">
        <f t="shared" ref="E125:L125" si="95">E20+E25+E30+E50+E55+E60+E65+E70+E85+E100+E105+E110</f>
        <v>60461.5</v>
      </c>
      <c r="F125" s="21">
        <f t="shared" si="95"/>
        <v>72871.45199999999</v>
      </c>
      <c r="G125" s="21">
        <f t="shared" si="95"/>
        <v>68755</v>
      </c>
      <c r="H125" s="21">
        <f t="shared" si="95"/>
        <v>83500</v>
      </c>
      <c r="I125" s="21">
        <f t="shared" si="95"/>
        <v>84750</v>
      </c>
      <c r="J125" s="21">
        <f t="shared" si="95"/>
        <v>86100</v>
      </c>
      <c r="K125" s="21">
        <f t="shared" si="95"/>
        <v>87400</v>
      </c>
      <c r="L125" s="21">
        <f t="shared" si="95"/>
        <v>88600</v>
      </c>
      <c r="M125" s="21">
        <f t="shared" si="93"/>
        <v>632437.95200000005</v>
      </c>
    </row>
    <row r="126" spans="1:13" x14ac:dyDescent="0.25">
      <c r="A126" s="103"/>
      <c r="B126" s="104"/>
      <c r="C126" s="76" t="s">
        <v>75</v>
      </c>
      <c r="D126" s="49" t="s">
        <v>20</v>
      </c>
      <c r="E126" s="21">
        <f>E127+E128+E129+E130</f>
        <v>0</v>
      </c>
      <c r="F126" s="21">
        <f t="shared" ref="F126:L126" si="96">F127+F128+F129+F130</f>
        <v>66183</v>
      </c>
      <c r="G126" s="21">
        <f t="shared" si="96"/>
        <v>0</v>
      </c>
      <c r="H126" s="21">
        <f t="shared" si="96"/>
        <v>0</v>
      </c>
      <c r="I126" s="21">
        <f t="shared" si="96"/>
        <v>0</v>
      </c>
      <c r="J126" s="21">
        <f t="shared" si="96"/>
        <v>0</v>
      </c>
      <c r="K126" s="21">
        <f t="shared" si="96"/>
        <v>0</v>
      </c>
      <c r="L126" s="21">
        <f t="shared" si="96"/>
        <v>0</v>
      </c>
      <c r="M126" s="21">
        <f>M127+M128+M129+M130</f>
        <v>66183</v>
      </c>
    </row>
    <row r="127" spans="1:13" x14ac:dyDescent="0.25">
      <c r="A127" s="103"/>
      <c r="B127" s="104"/>
      <c r="C127" s="77"/>
      <c r="D127" s="49" t="s">
        <v>24</v>
      </c>
      <c r="E127" s="21">
        <f>E32</f>
        <v>0</v>
      </c>
      <c r="F127" s="21">
        <f>F32</f>
        <v>0</v>
      </c>
      <c r="G127" s="21">
        <f t="shared" ref="G127:I127" si="97">G32</f>
        <v>0</v>
      </c>
      <c r="H127" s="21">
        <f t="shared" si="97"/>
        <v>0</v>
      </c>
      <c r="I127" s="21">
        <f t="shared" si="97"/>
        <v>0</v>
      </c>
      <c r="J127" s="21">
        <f t="shared" ref="J127:L127" si="98">J32</f>
        <v>0</v>
      </c>
      <c r="K127" s="21">
        <f t="shared" si="98"/>
        <v>0</v>
      </c>
      <c r="L127" s="21">
        <f t="shared" si="98"/>
        <v>0</v>
      </c>
      <c r="M127" s="21">
        <f>SUM(E127:L127)</f>
        <v>0</v>
      </c>
    </row>
    <row r="128" spans="1:13" x14ac:dyDescent="0.25">
      <c r="A128" s="103"/>
      <c r="B128" s="104"/>
      <c r="C128" s="77"/>
      <c r="D128" s="49" t="s">
        <v>25</v>
      </c>
      <c r="E128" s="21">
        <f t="shared" ref="E128" si="99">E33</f>
        <v>0</v>
      </c>
      <c r="F128" s="21">
        <f t="shared" ref="F128:I130" si="100">F33</f>
        <v>59564.7</v>
      </c>
      <c r="G128" s="21">
        <f t="shared" si="100"/>
        <v>0</v>
      </c>
      <c r="H128" s="21">
        <f t="shared" si="100"/>
        <v>0</v>
      </c>
      <c r="I128" s="21">
        <f t="shared" si="100"/>
        <v>0</v>
      </c>
      <c r="J128" s="21">
        <f t="shared" ref="J128:L128" si="101">J33</f>
        <v>0</v>
      </c>
      <c r="K128" s="21">
        <f t="shared" si="101"/>
        <v>0</v>
      </c>
      <c r="L128" s="21">
        <f t="shared" si="101"/>
        <v>0</v>
      </c>
      <c r="M128" s="21">
        <f t="shared" ref="M128:M130" si="102">SUM(E128:L128)</f>
        <v>59564.7</v>
      </c>
    </row>
    <row r="129" spans="1:15" x14ac:dyDescent="0.25">
      <c r="A129" s="103"/>
      <c r="B129" s="104"/>
      <c r="C129" s="77"/>
      <c r="D129" s="49" t="s">
        <v>26</v>
      </c>
      <c r="E129" s="21">
        <f t="shared" ref="E129" si="103">E34</f>
        <v>0</v>
      </c>
      <c r="F129" s="21">
        <f t="shared" si="100"/>
        <v>6618.3</v>
      </c>
      <c r="G129" s="21">
        <f t="shared" si="100"/>
        <v>0</v>
      </c>
      <c r="H129" s="21">
        <f t="shared" si="100"/>
        <v>0</v>
      </c>
      <c r="I129" s="21">
        <f t="shared" si="100"/>
        <v>0</v>
      </c>
      <c r="J129" s="21">
        <f t="shared" ref="J129:L129" si="104">J34</f>
        <v>0</v>
      </c>
      <c r="K129" s="21">
        <f t="shared" si="104"/>
        <v>0</v>
      </c>
      <c r="L129" s="21">
        <f t="shared" si="104"/>
        <v>0</v>
      </c>
      <c r="M129" s="21">
        <f t="shared" si="102"/>
        <v>6618.3</v>
      </c>
    </row>
    <row r="130" spans="1:15" x14ac:dyDescent="0.25">
      <c r="A130" s="103"/>
      <c r="B130" s="104"/>
      <c r="C130" s="78"/>
      <c r="D130" s="49" t="s">
        <v>27</v>
      </c>
      <c r="E130" s="21">
        <f t="shared" ref="E130" si="105">E35</f>
        <v>0</v>
      </c>
      <c r="F130" s="21">
        <f t="shared" si="100"/>
        <v>0</v>
      </c>
      <c r="G130" s="21">
        <f t="shared" si="100"/>
        <v>0</v>
      </c>
      <c r="H130" s="21">
        <f t="shared" si="100"/>
        <v>0</v>
      </c>
      <c r="I130" s="21">
        <f t="shared" si="100"/>
        <v>0</v>
      </c>
      <c r="J130" s="21">
        <f t="shared" ref="J130:L130" si="106">J35</f>
        <v>0</v>
      </c>
      <c r="K130" s="21">
        <f t="shared" si="106"/>
        <v>0</v>
      </c>
      <c r="L130" s="21">
        <f t="shared" si="106"/>
        <v>0</v>
      </c>
      <c r="M130" s="21">
        <f t="shared" si="102"/>
        <v>0</v>
      </c>
    </row>
    <row r="131" spans="1:15" x14ac:dyDescent="0.25">
      <c r="A131" s="103"/>
      <c r="B131" s="104"/>
      <c r="C131" s="76" t="s">
        <v>68</v>
      </c>
      <c r="D131" s="43" t="s">
        <v>20</v>
      </c>
      <c r="E131" s="21">
        <f>SUM(E132:E135)</f>
        <v>3600</v>
      </c>
      <c r="F131" s="21">
        <f t="shared" ref="F131:L131" si="107">SUM(F132:F135)</f>
        <v>5754</v>
      </c>
      <c r="G131" s="21">
        <f t="shared" si="107"/>
        <v>2500</v>
      </c>
      <c r="H131" s="21">
        <f t="shared" si="107"/>
        <v>0</v>
      </c>
      <c r="I131" s="21">
        <f t="shared" si="107"/>
        <v>200000</v>
      </c>
      <c r="J131" s="21">
        <f t="shared" si="107"/>
        <v>220386.09999999998</v>
      </c>
      <c r="K131" s="21">
        <f t="shared" si="107"/>
        <v>0</v>
      </c>
      <c r="L131" s="21">
        <f t="shared" si="107"/>
        <v>0</v>
      </c>
      <c r="M131" s="21">
        <f t="shared" ref="M131" si="108">SUM(M132:M135)</f>
        <v>432240.10000000003</v>
      </c>
    </row>
    <row r="132" spans="1:15" x14ac:dyDescent="0.25">
      <c r="A132" s="103"/>
      <c r="B132" s="104"/>
      <c r="C132" s="77"/>
      <c r="D132" s="43" t="s">
        <v>24</v>
      </c>
      <c r="E132" s="21">
        <f>E37+E72+E112</f>
        <v>0</v>
      </c>
      <c r="F132" s="21">
        <f t="shared" ref="F132:M132" si="109">F37+F72+F112</f>
        <v>0</v>
      </c>
      <c r="G132" s="21">
        <f t="shared" si="109"/>
        <v>0</v>
      </c>
      <c r="H132" s="21">
        <f t="shared" si="109"/>
        <v>0</v>
      </c>
      <c r="I132" s="21">
        <f t="shared" si="109"/>
        <v>0</v>
      </c>
      <c r="J132" s="21">
        <f t="shared" si="109"/>
        <v>0</v>
      </c>
      <c r="K132" s="21">
        <f t="shared" si="109"/>
        <v>0</v>
      </c>
      <c r="L132" s="21">
        <f t="shared" si="109"/>
        <v>0</v>
      </c>
      <c r="M132" s="21">
        <f t="shared" si="109"/>
        <v>0</v>
      </c>
    </row>
    <row r="133" spans="1:15" x14ac:dyDescent="0.25">
      <c r="A133" s="103"/>
      <c r="B133" s="104"/>
      <c r="C133" s="77"/>
      <c r="D133" s="43" t="s">
        <v>25</v>
      </c>
      <c r="E133" s="21">
        <f t="shared" ref="E133:M135" si="110">E38+E73+E113</f>
        <v>0</v>
      </c>
      <c r="F133" s="21">
        <f t="shared" si="110"/>
        <v>0</v>
      </c>
      <c r="G133" s="21">
        <f t="shared" si="110"/>
        <v>0</v>
      </c>
      <c r="H133" s="21">
        <f t="shared" si="110"/>
        <v>0</v>
      </c>
      <c r="I133" s="21">
        <f t="shared" si="110"/>
        <v>180000</v>
      </c>
      <c r="J133" s="21">
        <f t="shared" si="110"/>
        <v>185971.9</v>
      </c>
      <c r="K133" s="21">
        <f t="shared" si="110"/>
        <v>0</v>
      </c>
      <c r="L133" s="21">
        <f t="shared" si="110"/>
        <v>0</v>
      </c>
      <c r="M133" s="21">
        <f t="shared" si="110"/>
        <v>365971.9</v>
      </c>
    </row>
    <row r="134" spans="1:15" x14ac:dyDescent="0.25">
      <c r="A134" s="103"/>
      <c r="B134" s="104"/>
      <c r="C134" s="77"/>
      <c r="D134" s="43" t="s">
        <v>26</v>
      </c>
      <c r="E134" s="21">
        <f t="shared" si="110"/>
        <v>3600</v>
      </c>
      <c r="F134" s="21">
        <f t="shared" si="110"/>
        <v>5754</v>
      </c>
      <c r="G134" s="21">
        <f t="shared" si="110"/>
        <v>2500</v>
      </c>
      <c r="H134" s="21">
        <f t="shared" si="110"/>
        <v>0</v>
      </c>
      <c r="I134" s="21">
        <f t="shared" si="110"/>
        <v>20000</v>
      </c>
      <c r="J134" s="21">
        <f t="shared" si="110"/>
        <v>34414.199999999997</v>
      </c>
      <c r="K134" s="21">
        <f t="shared" si="110"/>
        <v>0</v>
      </c>
      <c r="L134" s="21">
        <f t="shared" si="110"/>
        <v>0</v>
      </c>
      <c r="M134" s="21">
        <f t="shared" si="110"/>
        <v>66268.2</v>
      </c>
    </row>
    <row r="135" spans="1:15" x14ac:dyDescent="0.25">
      <c r="A135" s="103"/>
      <c r="B135" s="104"/>
      <c r="C135" s="78"/>
      <c r="D135" s="43" t="s">
        <v>27</v>
      </c>
      <c r="E135" s="21">
        <f t="shared" si="110"/>
        <v>0</v>
      </c>
      <c r="F135" s="21">
        <f t="shared" si="110"/>
        <v>0</v>
      </c>
      <c r="G135" s="21">
        <f t="shared" si="110"/>
        <v>0</v>
      </c>
      <c r="H135" s="21">
        <f t="shared" si="110"/>
        <v>0</v>
      </c>
      <c r="I135" s="21">
        <f t="shared" si="110"/>
        <v>0</v>
      </c>
      <c r="J135" s="21">
        <f t="shared" si="110"/>
        <v>0</v>
      </c>
      <c r="K135" s="21">
        <f t="shared" si="110"/>
        <v>0</v>
      </c>
      <c r="L135" s="21">
        <f t="shared" si="110"/>
        <v>0</v>
      </c>
      <c r="M135" s="21">
        <f t="shared" si="110"/>
        <v>0</v>
      </c>
    </row>
    <row r="136" spans="1:15" x14ac:dyDescent="0.25">
      <c r="A136" s="103"/>
      <c r="B136" s="104"/>
      <c r="C136" s="67" t="s">
        <v>37</v>
      </c>
      <c r="D136" s="43" t="s">
        <v>20</v>
      </c>
      <c r="E136" s="21">
        <f>SUM(E137:E140)</f>
        <v>216475.19999999998</v>
      </c>
      <c r="F136" s="21">
        <f t="shared" ref="F136:L136" si="111">SUM(F137:F140)</f>
        <v>380050.95199999999</v>
      </c>
      <c r="G136" s="21">
        <f t="shared" si="111"/>
        <v>276322.70000000007</v>
      </c>
      <c r="H136" s="21">
        <f t="shared" si="111"/>
        <v>403533.17000000004</v>
      </c>
      <c r="I136" s="21">
        <f t="shared" si="111"/>
        <v>695778.74</v>
      </c>
      <c r="J136" s="21">
        <f t="shared" si="111"/>
        <v>581423.5</v>
      </c>
      <c r="K136" s="21">
        <f t="shared" si="111"/>
        <v>368738.9</v>
      </c>
      <c r="L136" s="21">
        <f t="shared" si="111"/>
        <v>356989.9</v>
      </c>
      <c r="M136" s="21">
        <f>SUM(M137:M140)</f>
        <v>3279313.0619999999</v>
      </c>
    </row>
    <row r="137" spans="1:15" x14ac:dyDescent="0.25">
      <c r="A137" s="103"/>
      <c r="B137" s="104"/>
      <c r="C137" s="67"/>
      <c r="D137" s="43" t="s">
        <v>24</v>
      </c>
      <c r="E137" s="21">
        <f>E122+E127+E132</f>
        <v>0</v>
      </c>
      <c r="F137" s="21">
        <f t="shared" ref="F137:I137" si="112">F122+F127+F132</f>
        <v>0</v>
      </c>
      <c r="G137" s="21">
        <f t="shared" si="112"/>
        <v>177.3</v>
      </c>
      <c r="H137" s="21">
        <f t="shared" si="112"/>
        <v>236.1</v>
      </c>
      <c r="I137" s="21">
        <f t="shared" si="112"/>
        <v>0</v>
      </c>
      <c r="J137" s="21">
        <f t="shared" ref="J137:L137" si="113">J122+J127+J132</f>
        <v>0</v>
      </c>
      <c r="K137" s="21">
        <f t="shared" si="113"/>
        <v>0</v>
      </c>
      <c r="L137" s="21">
        <f t="shared" si="113"/>
        <v>0</v>
      </c>
      <c r="M137" s="21">
        <f>SUM(E137:L137)</f>
        <v>413.4</v>
      </c>
    </row>
    <row r="138" spans="1:15" x14ac:dyDescent="0.25">
      <c r="A138" s="103"/>
      <c r="B138" s="104"/>
      <c r="C138" s="67"/>
      <c r="D138" s="43" t="s">
        <v>25</v>
      </c>
      <c r="E138" s="21">
        <f t="shared" ref="E138:I138" si="114">E123+E128+E133</f>
        <v>27125.4</v>
      </c>
      <c r="F138" s="21">
        <f t="shared" si="114"/>
        <v>123617.59999999999</v>
      </c>
      <c r="G138" s="21">
        <f t="shared" si="114"/>
        <v>27265.9</v>
      </c>
      <c r="H138" s="21">
        <f t="shared" si="114"/>
        <v>83368.700000000012</v>
      </c>
      <c r="I138" s="21">
        <f t="shared" si="114"/>
        <v>414827.3</v>
      </c>
      <c r="J138" s="21">
        <f t="shared" ref="J138:L138" si="115">J123+J128+J133</f>
        <v>306504.09999999998</v>
      </c>
      <c r="K138" s="21">
        <f t="shared" si="115"/>
        <v>125176.40000000001</v>
      </c>
      <c r="L138" s="21">
        <f t="shared" si="115"/>
        <v>0</v>
      </c>
      <c r="M138" s="21">
        <f t="shared" ref="M138:M140" si="116">SUM(E138:L138)</f>
        <v>1107885.3999999999</v>
      </c>
    </row>
    <row r="139" spans="1:15" x14ac:dyDescent="0.25">
      <c r="A139" s="103"/>
      <c r="B139" s="104"/>
      <c r="C139" s="67"/>
      <c r="D139" s="43" t="s">
        <v>26</v>
      </c>
      <c r="E139" s="21">
        <f t="shared" ref="E139:I139" si="117">E124+E129+E134</f>
        <v>128888.29999999999</v>
      </c>
      <c r="F139" s="21">
        <f t="shared" si="117"/>
        <v>183561.9</v>
      </c>
      <c r="G139" s="21">
        <f t="shared" si="117"/>
        <v>180124.50000000003</v>
      </c>
      <c r="H139" s="21">
        <f t="shared" si="117"/>
        <v>236428.37</v>
      </c>
      <c r="I139" s="21">
        <f t="shared" si="117"/>
        <v>196201.44</v>
      </c>
      <c r="J139" s="21">
        <f t="shared" ref="J139:L139" si="118">J124+J129+J134</f>
        <v>188819.40000000002</v>
      </c>
      <c r="K139" s="21">
        <f t="shared" si="118"/>
        <v>156162.5</v>
      </c>
      <c r="L139" s="21">
        <f t="shared" si="118"/>
        <v>268389.90000000002</v>
      </c>
      <c r="M139" s="21">
        <f t="shared" si="116"/>
        <v>1538576.31</v>
      </c>
    </row>
    <row r="140" spans="1:15" x14ac:dyDescent="0.25">
      <c r="A140" s="105"/>
      <c r="B140" s="106"/>
      <c r="C140" s="67"/>
      <c r="D140" s="43" t="s">
        <v>27</v>
      </c>
      <c r="E140" s="21">
        <f t="shared" ref="E140:I140" si="119">E125+E130+E135</f>
        <v>60461.5</v>
      </c>
      <c r="F140" s="21">
        <f t="shared" si="119"/>
        <v>72871.45199999999</v>
      </c>
      <c r="G140" s="21">
        <f t="shared" si="119"/>
        <v>68755</v>
      </c>
      <c r="H140" s="21">
        <f t="shared" si="119"/>
        <v>83500</v>
      </c>
      <c r="I140" s="21">
        <f t="shared" si="119"/>
        <v>84750</v>
      </c>
      <c r="J140" s="21">
        <f t="shared" ref="J140:L140" si="120">J125+J130+J135</f>
        <v>86100</v>
      </c>
      <c r="K140" s="21">
        <f t="shared" si="120"/>
        <v>87400</v>
      </c>
      <c r="L140" s="21">
        <f t="shared" si="120"/>
        <v>88600</v>
      </c>
      <c r="M140" s="21">
        <f t="shared" si="116"/>
        <v>632437.95200000005</v>
      </c>
    </row>
    <row r="141" spans="1:15" x14ac:dyDescent="0.25">
      <c r="O141" s="23"/>
    </row>
    <row r="142" spans="1:15" ht="16.5" x14ac:dyDescent="0.25">
      <c r="A142" s="89" t="s">
        <v>51</v>
      </c>
      <c r="B142" s="89"/>
      <c r="C142" s="89"/>
      <c r="D142" s="89"/>
      <c r="E142" s="89"/>
      <c r="F142" s="89"/>
      <c r="G142" s="89"/>
      <c r="H142" s="89"/>
      <c r="I142" s="89"/>
      <c r="J142" s="89"/>
      <c r="K142" s="89"/>
      <c r="L142" s="89"/>
      <c r="M142" s="89"/>
      <c r="N142" s="23"/>
    </row>
    <row r="143" spans="1:15" ht="16.5" x14ac:dyDescent="0.25">
      <c r="A143" s="41" t="s">
        <v>66</v>
      </c>
      <c r="B143" s="41"/>
      <c r="C143" s="41"/>
      <c r="D143" s="41"/>
      <c r="E143" s="41"/>
      <c r="F143" s="41"/>
      <c r="G143" s="56"/>
      <c r="H143" s="56"/>
      <c r="I143" s="56"/>
      <c r="J143" s="56"/>
      <c r="K143" s="56"/>
      <c r="L143" s="56"/>
      <c r="M143" s="56"/>
      <c r="N143" s="23"/>
    </row>
    <row r="144" spans="1:15" ht="16.5" x14ac:dyDescent="0.25">
      <c r="A144" s="50" t="s">
        <v>75</v>
      </c>
      <c r="B144" s="89" t="s">
        <v>76</v>
      </c>
      <c r="C144" s="89"/>
      <c r="D144" s="89"/>
      <c r="E144" s="89"/>
      <c r="F144" s="89"/>
      <c r="G144" s="89"/>
      <c r="H144" s="89"/>
      <c r="I144" s="89"/>
      <c r="J144" s="89"/>
      <c r="K144" s="89"/>
      <c r="L144" s="89"/>
      <c r="M144" s="89"/>
      <c r="N144" s="89"/>
    </row>
    <row r="145" spans="1:13" ht="16.5" x14ac:dyDescent="0.25">
      <c r="A145" s="34" t="s">
        <v>52</v>
      </c>
      <c r="B145" s="35"/>
      <c r="C145" s="35"/>
      <c r="D145" s="35"/>
      <c r="E145" s="35"/>
      <c r="F145" s="35"/>
      <c r="G145" s="57"/>
      <c r="H145" s="58"/>
      <c r="I145" s="58"/>
      <c r="J145" s="64"/>
      <c r="K145" s="64"/>
      <c r="L145" s="64"/>
      <c r="M145" s="64"/>
    </row>
    <row r="146" spans="1:13" ht="16.5" x14ac:dyDescent="0.25">
      <c r="A146" s="34" t="s">
        <v>53</v>
      </c>
      <c r="B146" s="35"/>
      <c r="C146" s="35"/>
      <c r="D146" s="35"/>
      <c r="E146" s="35"/>
      <c r="F146" s="35"/>
      <c r="G146" s="57"/>
      <c r="H146" s="57"/>
      <c r="I146" s="57"/>
      <c r="J146" s="57"/>
      <c r="K146" s="57"/>
      <c r="L146" s="57"/>
      <c r="M146" s="58"/>
    </row>
    <row r="147" spans="1:13" ht="16.5" x14ac:dyDescent="0.25">
      <c r="A147" s="34" t="s">
        <v>54</v>
      </c>
      <c r="B147" s="35"/>
      <c r="C147" s="35"/>
      <c r="D147" s="35"/>
      <c r="E147" s="35"/>
      <c r="F147" s="35"/>
      <c r="G147" s="58"/>
      <c r="H147" s="57"/>
      <c r="I147" s="57"/>
      <c r="J147" s="57"/>
      <c r="K147" s="57"/>
      <c r="L147" s="57"/>
      <c r="M147" s="64"/>
    </row>
    <row r="148" spans="1:13" ht="16.5" x14ac:dyDescent="0.25">
      <c r="A148" s="34" t="s">
        <v>71</v>
      </c>
      <c r="B148" s="35"/>
      <c r="C148" s="35"/>
      <c r="D148" s="35"/>
      <c r="E148" s="35"/>
      <c r="F148" s="35"/>
      <c r="G148" s="58"/>
      <c r="H148" s="57"/>
      <c r="I148" s="57"/>
      <c r="J148" s="57"/>
      <c r="K148" s="57"/>
      <c r="L148" s="57"/>
      <c r="M148" s="57"/>
    </row>
  </sheetData>
  <mergeCells count="67">
    <mergeCell ref="C26:C30"/>
    <mergeCell ref="C56:C60"/>
    <mergeCell ref="B46:B50"/>
    <mergeCell ref="C46:C50"/>
    <mergeCell ref="B51:B55"/>
    <mergeCell ref="B26:B45"/>
    <mergeCell ref="K1:M4"/>
    <mergeCell ref="K5:M5"/>
    <mergeCell ref="K6:M6"/>
    <mergeCell ref="K7:M7"/>
    <mergeCell ref="B21:B25"/>
    <mergeCell ref="A9:M9"/>
    <mergeCell ref="A10:M10"/>
    <mergeCell ref="A12:A14"/>
    <mergeCell ref="B12:B14"/>
    <mergeCell ref="C12:C14"/>
    <mergeCell ref="D12:D14"/>
    <mergeCell ref="E12:M13"/>
    <mergeCell ref="A16:A20"/>
    <mergeCell ref="B16:B20"/>
    <mergeCell ref="C16:C20"/>
    <mergeCell ref="A21:A25"/>
    <mergeCell ref="B144:N144"/>
    <mergeCell ref="A142:M142"/>
    <mergeCell ref="A61:A65"/>
    <mergeCell ref="B61:B65"/>
    <mergeCell ref="C61:C65"/>
    <mergeCell ref="C66:C70"/>
    <mergeCell ref="C121:C125"/>
    <mergeCell ref="A86:A90"/>
    <mergeCell ref="B86:B90"/>
    <mergeCell ref="C86:C90"/>
    <mergeCell ref="A81:A85"/>
    <mergeCell ref="C71:C75"/>
    <mergeCell ref="B81:B85"/>
    <mergeCell ref="C136:C140"/>
    <mergeCell ref="A121:B140"/>
    <mergeCell ref="C76:C80"/>
    <mergeCell ref="C91:C95"/>
    <mergeCell ref="C21:C25"/>
    <mergeCell ref="C81:C85"/>
    <mergeCell ref="A26:A45"/>
    <mergeCell ref="C31:C35"/>
    <mergeCell ref="B66:B80"/>
    <mergeCell ref="A56:A60"/>
    <mergeCell ref="A46:A50"/>
    <mergeCell ref="A51:A55"/>
    <mergeCell ref="B56:B60"/>
    <mergeCell ref="C36:C40"/>
    <mergeCell ref="C41:C45"/>
    <mergeCell ref="A66:A80"/>
    <mergeCell ref="A91:A95"/>
    <mergeCell ref="B91:B95"/>
    <mergeCell ref="C51:C55"/>
    <mergeCell ref="C131:C135"/>
    <mergeCell ref="C126:C130"/>
    <mergeCell ref="A96:A100"/>
    <mergeCell ref="B96:B100"/>
    <mergeCell ref="C96:C100"/>
    <mergeCell ref="A101:A105"/>
    <mergeCell ref="C111:C115"/>
    <mergeCell ref="C116:C120"/>
    <mergeCell ref="B106:B120"/>
    <mergeCell ref="A106:A120"/>
    <mergeCell ref="C106:C110"/>
    <mergeCell ref="B101:B105"/>
    <mergeCell ref="C101:C105"/>
  </mergeCells>
  <pageMargins left="0.31496062992125984" right="0.15748031496062992" top="0.59" bottom="0.23622047244094491" header="0.61" footer="0.31496062992125984"/>
  <pageSetup paperSize="9" scale="74" fitToHeight="4" orientation="landscape" r:id="rId1"/>
  <rowBreaks count="2" manualBreakCount="2">
    <brk id="45" max="10" man="1"/>
    <brk id="95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8</vt:i4>
      </vt:variant>
    </vt:vector>
  </HeadingPairs>
  <TitlesOfParts>
    <vt:vector size="14" baseType="lpstr">
      <vt:lpstr>Прогноз хар-к</vt:lpstr>
      <vt:lpstr>Прогноз хар-к 05.2019</vt:lpstr>
      <vt:lpstr>Прогноз хар-к 06.2019</vt:lpstr>
      <vt:lpstr>Прогноз хар-к 09.2019</vt:lpstr>
      <vt:lpstr>Приложение №3 к МП</vt:lpstr>
      <vt:lpstr>Пр №3 к МП</vt:lpstr>
      <vt:lpstr>'Пр №3 к МП'!Заголовки_для_печати</vt:lpstr>
      <vt:lpstr>'Приложение №3 к МП'!Заголовки_для_печати</vt:lpstr>
      <vt:lpstr>'Пр №3 к МП'!Область_печати</vt:lpstr>
      <vt:lpstr>'Приложение №3 к МП'!Область_печати</vt:lpstr>
      <vt:lpstr>'Прогноз хар-к'!Область_печати</vt:lpstr>
      <vt:lpstr>'Прогноз хар-к 05.2019'!Область_печати</vt:lpstr>
      <vt:lpstr>'Прогноз хар-к 06.2019'!Область_печати</vt:lpstr>
      <vt:lpstr>'Прогноз хар-к 09.2019'!Область_печати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2024-03-21T07:16:52Z</dcterms:modified>
</cp:coreProperties>
</file>