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105" windowWidth="14805" windowHeight="8010" firstSheet="5" activeTab="5"/>
  </bookViews>
  <sheets>
    <sheet name="Прогноз хар-к" sheetId="4" state="hidden" r:id="rId1"/>
    <sheet name="Прогноз хар-к 05.2019" sheetId="5" state="hidden" r:id="rId2"/>
    <sheet name="Прогноз хар-к 06.2019" sheetId="6" state="hidden" r:id="rId3"/>
    <sheet name="Прогноз хар-к 09.2019" sheetId="7" state="hidden" r:id="rId4"/>
    <sheet name="Приложение №3 к МП" sheetId="8" state="hidden" r:id="rId5"/>
    <sheet name="Пр №3 к МП" sheetId="9" r:id="rId6"/>
  </sheets>
  <definedNames>
    <definedName name="_xlnm.Print_Titles" localSheetId="5">'Пр №3 к МП'!$12:$15</definedName>
    <definedName name="_xlnm.Print_Titles" localSheetId="4">'Приложение №3 к МП'!$8:$11</definedName>
    <definedName name="_xlnm.Print_Area" localSheetId="5">'Пр №3 к МП'!$A$1:$K$138</definedName>
    <definedName name="_xlnm.Print_Area" localSheetId="4">'Приложение №3 к МП'!$A$1:$K$68</definedName>
    <definedName name="_xlnm.Print_Area" localSheetId="0">'Прогноз хар-к'!$B$1:$I$7</definedName>
    <definedName name="_xlnm.Print_Area" localSheetId="1">'Прогноз хар-к 05.2019'!$A$1:$K$60</definedName>
    <definedName name="_xlnm.Print_Area" localSheetId="2">'Прогноз хар-к 06.2019'!$A$1:$K$60</definedName>
    <definedName name="_xlnm.Print_Area" localSheetId="3">'Прогноз хар-к 09.2019'!$A$1:$L$60</definedName>
  </definedNames>
  <calcPr calcId="162913"/>
</workbook>
</file>

<file path=xl/calcChain.xml><?xml version="1.0" encoding="utf-8"?>
<calcChain xmlns="http://schemas.openxmlformats.org/spreadsheetml/2006/main">
  <c r="I59" i="9" l="1"/>
  <c r="H106" i="9"/>
  <c r="H101" i="9"/>
  <c r="H112" i="9"/>
  <c r="H117" i="9"/>
  <c r="H118" i="9"/>
  <c r="H119" i="9"/>
  <c r="H120" i="9"/>
  <c r="H96" i="9"/>
  <c r="H84" i="9"/>
  <c r="H81" i="9" s="1"/>
  <c r="H80" i="9"/>
  <c r="H79" i="9"/>
  <c r="H78" i="9"/>
  <c r="H77" i="9"/>
  <c r="H71" i="9"/>
  <c r="H66" i="9"/>
  <c r="H61" i="9"/>
  <c r="H59" i="9"/>
  <c r="H56" i="9"/>
  <c r="H51" i="9"/>
  <c r="H46" i="9"/>
  <c r="H45" i="9"/>
  <c r="H44" i="9"/>
  <c r="H43" i="9"/>
  <c r="H42" i="9"/>
  <c r="H36" i="9"/>
  <c r="H31" i="9"/>
  <c r="H26" i="9"/>
  <c r="H24" i="9"/>
  <c r="H21" i="9" s="1"/>
  <c r="H20" i="9"/>
  <c r="H115" i="9" s="1"/>
  <c r="H19" i="9"/>
  <c r="H114" i="9" s="1"/>
  <c r="H18" i="9"/>
  <c r="H113" i="9" s="1"/>
  <c r="H16" i="9"/>
  <c r="H41" i="9" l="1"/>
  <c r="H76" i="9"/>
  <c r="H116" i="9"/>
  <c r="H111" i="9"/>
  <c r="E114" i="9" l="1"/>
  <c r="E115" i="9"/>
  <c r="F115" i="9"/>
  <c r="G115" i="9"/>
  <c r="I113" i="9"/>
  <c r="J109" i="9"/>
  <c r="I109" i="9"/>
  <c r="J20" i="9"/>
  <c r="I20" i="9"/>
  <c r="G104" i="9"/>
  <c r="G101" i="9"/>
  <c r="F101" i="9"/>
  <c r="E101" i="9"/>
  <c r="G96" i="9"/>
  <c r="F96" i="9"/>
  <c r="E96" i="9"/>
  <c r="G86" i="9"/>
  <c r="F86" i="9"/>
  <c r="E86" i="9"/>
  <c r="G81" i="9"/>
  <c r="F81" i="9"/>
  <c r="E81" i="9"/>
  <c r="G80" i="9"/>
  <c r="F80" i="9"/>
  <c r="E80" i="9"/>
  <c r="F79" i="9"/>
  <c r="E79" i="9"/>
  <c r="G78" i="9"/>
  <c r="F78" i="9"/>
  <c r="G77" i="9"/>
  <c r="F77" i="9"/>
  <c r="E77" i="9"/>
  <c r="G71" i="9"/>
  <c r="F71" i="9"/>
  <c r="E71" i="9"/>
  <c r="G69" i="9"/>
  <c r="G79" i="9" s="1"/>
  <c r="E68" i="9"/>
  <c r="E78" i="9" s="1"/>
  <c r="G66" i="9"/>
  <c r="F66" i="9"/>
  <c r="F76" i="9" s="1"/>
  <c r="G61" i="9"/>
  <c r="F61" i="9"/>
  <c r="E61" i="9"/>
  <c r="G59" i="9"/>
  <c r="F59" i="9"/>
  <c r="G56" i="9"/>
  <c r="F56" i="9"/>
  <c r="E56" i="9"/>
  <c r="G51" i="9"/>
  <c r="F51" i="9"/>
  <c r="E51" i="9"/>
  <c r="G46" i="9"/>
  <c r="F46" i="9"/>
  <c r="E46" i="9"/>
  <c r="G45" i="9"/>
  <c r="F45" i="9"/>
  <c r="E45" i="9"/>
  <c r="E44" i="9"/>
  <c r="G43" i="9"/>
  <c r="F43" i="9"/>
  <c r="G42" i="9"/>
  <c r="F42" i="9"/>
  <c r="E42" i="9"/>
  <c r="G36" i="9"/>
  <c r="F36" i="9"/>
  <c r="E36" i="9"/>
  <c r="G31" i="9"/>
  <c r="F31" i="9"/>
  <c r="E31" i="9"/>
  <c r="G29" i="9"/>
  <c r="G44" i="9" s="1"/>
  <c r="F29" i="9"/>
  <c r="F44" i="9" s="1"/>
  <c r="E28" i="9"/>
  <c r="E43" i="9" s="1"/>
  <c r="G26" i="9"/>
  <c r="G41" i="9" s="1"/>
  <c r="E26" i="9"/>
  <c r="E41" i="9" s="1"/>
  <c r="G24" i="9"/>
  <c r="G21" i="9"/>
  <c r="F21" i="9"/>
  <c r="E21" i="9"/>
  <c r="G19" i="9"/>
  <c r="G114" i="9" s="1"/>
  <c r="F19" i="9"/>
  <c r="F114" i="9" s="1"/>
  <c r="G18" i="9"/>
  <c r="G113" i="9" s="1"/>
  <c r="F18" i="9"/>
  <c r="F113" i="9" s="1"/>
  <c r="G16" i="9"/>
  <c r="F16" i="9"/>
  <c r="E16" i="9"/>
  <c r="J19" i="9"/>
  <c r="J114" i="9" s="1"/>
  <c r="I19" i="9"/>
  <c r="I114" i="9" s="1"/>
  <c r="F26" i="9" l="1"/>
  <c r="F41" i="9" s="1"/>
  <c r="E66" i="9"/>
  <c r="E76" i="9" s="1"/>
  <c r="G76" i="9"/>
  <c r="K114" i="9"/>
  <c r="J110" i="9"/>
  <c r="J115" i="9" s="1"/>
  <c r="I110" i="9"/>
  <c r="I115" i="9" s="1"/>
  <c r="F112" i="9"/>
  <c r="G112" i="9"/>
  <c r="I112" i="9"/>
  <c r="J112" i="9"/>
  <c r="E113" i="9"/>
  <c r="E112" i="9"/>
  <c r="G106" i="9"/>
  <c r="K110" i="9"/>
  <c r="K109" i="9"/>
  <c r="K108" i="9"/>
  <c r="K107" i="9"/>
  <c r="J106" i="9"/>
  <c r="F106" i="9"/>
  <c r="E106" i="9"/>
  <c r="K115" i="9" l="1"/>
  <c r="I106" i="9"/>
  <c r="K106" i="9"/>
  <c r="H122" i="9" l="1"/>
  <c r="I122" i="9"/>
  <c r="I121" i="9" s="1"/>
  <c r="J122" i="9"/>
  <c r="H123" i="9"/>
  <c r="I123" i="9"/>
  <c r="J123" i="9"/>
  <c r="J121" i="9" s="1"/>
  <c r="H124" i="9"/>
  <c r="I124" i="9"/>
  <c r="J124" i="9"/>
  <c r="H125" i="9"/>
  <c r="I125" i="9"/>
  <c r="J125" i="9"/>
  <c r="G122" i="9"/>
  <c r="G123" i="9"/>
  <c r="G124" i="9"/>
  <c r="G125" i="9"/>
  <c r="F122" i="9"/>
  <c r="F123" i="9"/>
  <c r="F124" i="9"/>
  <c r="F125" i="9"/>
  <c r="E123" i="9"/>
  <c r="E124" i="9"/>
  <c r="E125" i="9"/>
  <c r="E122" i="9"/>
  <c r="E117" i="9"/>
  <c r="E118" i="9"/>
  <c r="E128" i="9" s="1"/>
  <c r="E119" i="9"/>
  <c r="E120" i="9"/>
  <c r="E130" i="9" s="1"/>
  <c r="G117" i="9"/>
  <c r="G127" i="9" s="1"/>
  <c r="I117" i="9"/>
  <c r="I127" i="9" s="1"/>
  <c r="J117" i="9"/>
  <c r="J127" i="9" s="1"/>
  <c r="G118" i="9"/>
  <c r="G128" i="9" s="1"/>
  <c r="I118" i="9"/>
  <c r="I128" i="9" s="1"/>
  <c r="J118" i="9"/>
  <c r="G119" i="9"/>
  <c r="G129" i="9" s="1"/>
  <c r="I119" i="9"/>
  <c r="J119" i="9"/>
  <c r="J129" i="9" s="1"/>
  <c r="G120" i="9"/>
  <c r="I120" i="9"/>
  <c r="I130" i="9" s="1"/>
  <c r="J120" i="9"/>
  <c r="F118" i="9"/>
  <c r="F128" i="9" s="1"/>
  <c r="F119" i="9"/>
  <c r="F129" i="9" s="1"/>
  <c r="F120" i="9"/>
  <c r="F130" i="9" s="1"/>
  <c r="I116" i="9"/>
  <c r="K112" i="9"/>
  <c r="F111" i="9"/>
  <c r="G111" i="9"/>
  <c r="K103" i="9"/>
  <c r="K104" i="9"/>
  <c r="K105" i="9"/>
  <c r="I101" i="9"/>
  <c r="J101" i="9"/>
  <c r="K98" i="9"/>
  <c r="K99" i="9"/>
  <c r="K100" i="9"/>
  <c r="I96" i="9"/>
  <c r="J96" i="9"/>
  <c r="K83" i="9"/>
  <c r="K84" i="9"/>
  <c r="K85" i="9"/>
  <c r="K87" i="9"/>
  <c r="K88" i="9"/>
  <c r="K89" i="9"/>
  <c r="K90" i="9"/>
  <c r="K91" i="9"/>
  <c r="K92" i="9"/>
  <c r="K93" i="9"/>
  <c r="K94" i="9"/>
  <c r="K95" i="9"/>
  <c r="I81" i="9"/>
  <c r="J81" i="9"/>
  <c r="I77" i="9"/>
  <c r="J77" i="9"/>
  <c r="I78" i="9"/>
  <c r="I79" i="9"/>
  <c r="J79" i="9"/>
  <c r="I80" i="9"/>
  <c r="J80" i="9"/>
  <c r="K73" i="9"/>
  <c r="K74" i="9"/>
  <c r="K75" i="9"/>
  <c r="I71" i="9"/>
  <c r="J71" i="9"/>
  <c r="K69" i="9"/>
  <c r="K70" i="9"/>
  <c r="K80" i="9" s="1"/>
  <c r="I66" i="9"/>
  <c r="K63" i="9"/>
  <c r="K64" i="9"/>
  <c r="K65" i="9"/>
  <c r="I61" i="9"/>
  <c r="J61" i="9"/>
  <c r="I56" i="9"/>
  <c r="J56" i="9"/>
  <c r="K52" i="9"/>
  <c r="K53" i="9"/>
  <c r="K54" i="9"/>
  <c r="K55" i="9"/>
  <c r="I51" i="9"/>
  <c r="J51" i="9"/>
  <c r="I46" i="9"/>
  <c r="J46" i="9"/>
  <c r="I42" i="9"/>
  <c r="J42" i="9"/>
  <c r="I43" i="9"/>
  <c r="I44" i="9"/>
  <c r="J44" i="9"/>
  <c r="I45" i="9"/>
  <c r="J45" i="9"/>
  <c r="K32" i="9"/>
  <c r="K33" i="9"/>
  <c r="K34" i="9"/>
  <c r="K35" i="9"/>
  <c r="I31" i="9"/>
  <c r="J31" i="9"/>
  <c r="I26" i="9"/>
  <c r="I21" i="9"/>
  <c r="J21" i="9"/>
  <c r="I16" i="9"/>
  <c r="J16" i="9"/>
  <c r="K125" i="9" l="1"/>
  <c r="K123" i="9"/>
  <c r="I76" i="9"/>
  <c r="J116" i="9"/>
  <c r="G116" i="9"/>
  <c r="J130" i="9"/>
  <c r="G130" i="9"/>
  <c r="I129" i="9"/>
  <c r="H128" i="9"/>
  <c r="E129" i="9"/>
  <c r="E127" i="9"/>
  <c r="F121" i="9"/>
  <c r="G121" i="9"/>
  <c r="K124" i="9"/>
  <c r="K120" i="9"/>
  <c r="H130" i="9"/>
  <c r="K130" i="9" s="1"/>
  <c r="K119" i="9"/>
  <c r="H129" i="9"/>
  <c r="K129" i="9" s="1"/>
  <c r="H127" i="9"/>
  <c r="H126" i="9" s="1"/>
  <c r="H121" i="9"/>
  <c r="K118" i="9"/>
  <c r="G126" i="9"/>
  <c r="K79" i="9"/>
  <c r="I111" i="9"/>
  <c r="I126" i="9"/>
  <c r="F117" i="9"/>
  <c r="F127" i="9" s="1"/>
  <c r="K117" i="9" l="1"/>
  <c r="F116" i="9"/>
  <c r="K102" i="9"/>
  <c r="K101" i="9" s="1"/>
  <c r="K97" i="9"/>
  <c r="K96" i="9" s="1"/>
  <c r="F126" i="9" l="1"/>
  <c r="K127" i="9"/>
  <c r="E116" i="9"/>
  <c r="K59" i="9"/>
  <c r="K116" i="9" l="1"/>
  <c r="K31" i="9"/>
  <c r="E111" i="9" l="1"/>
  <c r="K122" i="9" l="1"/>
  <c r="K50" i="9"/>
  <c r="K49" i="9"/>
  <c r="K48" i="9"/>
  <c r="K47" i="9"/>
  <c r="K46" i="9" l="1"/>
  <c r="K51" i="9"/>
  <c r="K72" i="9"/>
  <c r="K38" i="9"/>
  <c r="K40" i="9"/>
  <c r="K37" i="9"/>
  <c r="J36" i="9"/>
  <c r="I36" i="9"/>
  <c r="I41" i="9" s="1"/>
  <c r="K39" i="9" l="1"/>
  <c r="K36" i="9" s="1"/>
  <c r="K71" i="9"/>
  <c r="K82" i="9"/>
  <c r="K121" i="9" l="1"/>
  <c r="E121" i="9"/>
  <c r="K81" i="9"/>
  <c r="J86" i="9"/>
  <c r="I86" i="9"/>
  <c r="K86" i="9" l="1"/>
  <c r="E126" i="9"/>
  <c r="J68" i="9"/>
  <c r="K67" i="9"/>
  <c r="K77" i="9" s="1"/>
  <c r="K62" i="9"/>
  <c r="K60" i="9"/>
  <c r="K58" i="9"/>
  <c r="K57" i="9"/>
  <c r="K30" i="9"/>
  <c r="K45" i="9" s="1"/>
  <c r="K27" i="9"/>
  <c r="K42" i="9" s="1"/>
  <c r="K25" i="9"/>
  <c r="K23" i="9"/>
  <c r="K22" i="9"/>
  <c r="K18" i="9"/>
  <c r="K17" i="9"/>
  <c r="F60" i="8"/>
  <c r="E60" i="8"/>
  <c r="J113" i="9" l="1"/>
  <c r="J78" i="9"/>
  <c r="K68" i="9"/>
  <c r="K78" i="9" s="1"/>
  <c r="J66" i="9"/>
  <c r="J76" i="9" s="1"/>
  <c r="J26" i="9"/>
  <c r="J41" i="9" s="1"/>
  <c r="J43" i="9"/>
  <c r="K28" i="9"/>
  <c r="K43" i="9" s="1"/>
  <c r="K61" i="9"/>
  <c r="K56" i="8"/>
  <c r="K55" i="8"/>
  <c r="K54" i="8"/>
  <c r="K53" i="8"/>
  <c r="J52" i="8"/>
  <c r="I52" i="8"/>
  <c r="H52" i="8"/>
  <c r="G52" i="8"/>
  <c r="F52" i="8"/>
  <c r="E52" i="8"/>
  <c r="F61" i="8"/>
  <c r="E61" i="8"/>
  <c r="I59" i="8"/>
  <c r="H59" i="8"/>
  <c r="G59" i="8"/>
  <c r="F59" i="8"/>
  <c r="E59" i="8"/>
  <c r="J58" i="8"/>
  <c r="I58" i="8"/>
  <c r="H58" i="8"/>
  <c r="G58" i="8"/>
  <c r="F58" i="8"/>
  <c r="E58" i="8"/>
  <c r="G51" i="8"/>
  <c r="G50" i="8"/>
  <c r="H50" i="8" s="1"/>
  <c r="J49" i="8"/>
  <c r="K49" i="8" s="1"/>
  <c r="K48" i="8"/>
  <c r="F47" i="8"/>
  <c r="E47" i="8"/>
  <c r="K46" i="8"/>
  <c r="K45" i="8"/>
  <c r="K44" i="8"/>
  <c r="K43" i="8"/>
  <c r="K42" i="8" s="1"/>
  <c r="J42" i="8"/>
  <c r="I42" i="8"/>
  <c r="H42" i="8"/>
  <c r="G42" i="8"/>
  <c r="F42" i="8"/>
  <c r="E42" i="8"/>
  <c r="K41" i="8"/>
  <c r="H40" i="8"/>
  <c r="H37" i="8" s="1"/>
  <c r="K39" i="8"/>
  <c r="K38" i="8"/>
  <c r="G37" i="8"/>
  <c r="F37" i="8"/>
  <c r="E37" i="8"/>
  <c r="K36" i="8"/>
  <c r="H35" i="8"/>
  <c r="F32" i="8"/>
  <c r="E32" i="8"/>
  <c r="K31" i="8"/>
  <c r="H30" i="8"/>
  <c r="K29" i="8"/>
  <c r="K28" i="8"/>
  <c r="G27" i="8"/>
  <c r="F27" i="8"/>
  <c r="E27" i="8"/>
  <c r="K26" i="8"/>
  <c r="G25" i="8"/>
  <c r="H25" i="8" s="1"/>
  <c r="J24" i="8"/>
  <c r="K24" i="8" s="1"/>
  <c r="K23" i="8"/>
  <c r="F22" i="8"/>
  <c r="E22" i="8"/>
  <c r="K19" i="8"/>
  <c r="K18" i="8"/>
  <c r="F17" i="8"/>
  <c r="E17" i="8"/>
  <c r="G16" i="8"/>
  <c r="G61" i="8" s="1"/>
  <c r="G15" i="8"/>
  <c r="K14" i="8"/>
  <c r="K13" i="8"/>
  <c r="F12" i="8"/>
  <c r="E12" i="8"/>
  <c r="H54" i="7"/>
  <c r="E60" i="7"/>
  <c r="E59" i="7"/>
  <c r="E58" i="7"/>
  <c r="E57" i="7"/>
  <c r="E51" i="7"/>
  <c r="E46" i="7"/>
  <c r="E41" i="7"/>
  <c r="E36" i="7"/>
  <c r="E31" i="7"/>
  <c r="E26" i="7"/>
  <c r="E21" i="7"/>
  <c r="E16" i="7"/>
  <c r="J128" i="9" l="1"/>
  <c r="K128" i="9" s="1"/>
  <c r="K113" i="9"/>
  <c r="J111" i="9"/>
  <c r="G22" i="8"/>
  <c r="K58" i="8"/>
  <c r="F57" i="8"/>
  <c r="K19" i="9"/>
  <c r="K29" i="9"/>
  <c r="K44" i="9" s="1"/>
  <c r="G17" i="8"/>
  <c r="E57" i="8"/>
  <c r="G47" i="8"/>
  <c r="G60" i="8"/>
  <c r="G32" i="8"/>
  <c r="G12" i="8"/>
  <c r="H15" i="8"/>
  <c r="K52" i="8"/>
  <c r="I50" i="8"/>
  <c r="H22" i="8"/>
  <c r="I25" i="8"/>
  <c r="I30" i="8"/>
  <c r="H27" i="8"/>
  <c r="I35" i="8"/>
  <c r="H32" i="8"/>
  <c r="H20" i="8"/>
  <c r="K21" i="8"/>
  <c r="H51" i="8"/>
  <c r="I51" i="8" s="1"/>
  <c r="J51" i="8" s="1"/>
  <c r="J59" i="8"/>
  <c r="K59" i="8" s="1"/>
  <c r="H16" i="8"/>
  <c r="I40" i="8"/>
  <c r="E56" i="7"/>
  <c r="G60" i="7"/>
  <c r="F60" i="7"/>
  <c r="G59" i="7"/>
  <c r="F59" i="7"/>
  <c r="F62" i="7" s="1"/>
  <c r="J58" i="7"/>
  <c r="I58" i="7"/>
  <c r="H58" i="7"/>
  <c r="G58" i="7"/>
  <c r="F58" i="7"/>
  <c r="K57" i="7"/>
  <c r="J57" i="7"/>
  <c r="I57" i="7"/>
  <c r="H57" i="7"/>
  <c r="G57" i="7"/>
  <c r="F57" i="7"/>
  <c r="H55" i="7"/>
  <c r="I54" i="7"/>
  <c r="K53" i="7"/>
  <c r="L53" i="7" s="1"/>
  <c r="L52" i="7"/>
  <c r="H51" i="7"/>
  <c r="G51" i="7"/>
  <c r="F51" i="7"/>
  <c r="L50" i="7"/>
  <c r="L49" i="7"/>
  <c r="L48" i="7"/>
  <c r="L47" i="7"/>
  <c r="K46" i="7"/>
  <c r="J46" i="7"/>
  <c r="I46" i="7"/>
  <c r="H46" i="7"/>
  <c r="G46" i="7"/>
  <c r="F46" i="7"/>
  <c r="L45" i="7"/>
  <c r="I44" i="7"/>
  <c r="I41" i="7" s="1"/>
  <c r="L43" i="7"/>
  <c r="L42" i="7"/>
  <c r="H41" i="7"/>
  <c r="G41" i="7"/>
  <c r="F41" i="7"/>
  <c r="L40" i="7"/>
  <c r="H39" i="7"/>
  <c r="I39" i="7" s="1"/>
  <c r="J39" i="7" s="1"/>
  <c r="G36" i="7"/>
  <c r="F36" i="7"/>
  <c r="L35" i="7"/>
  <c r="H34" i="7"/>
  <c r="L33" i="7"/>
  <c r="L32" i="7"/>
  <c r="G31" i="7"/>
  <c r="F31" i="7"/>
  <c r="L30" i="7"/>
  <c r="H29" i="7"/>
  <c r="I29" i="7" s="1"/>
  <c r="K28" i="7"/>
  <c r="K58" i="7" s="1"/>
  <c r="L27" i="7"/>
  <c r="G26" i="7"/>
  <c r="F26" i="7"/>
  <c r="H25" i="7"/>
  <c r="H24" i="7"/>
  <c r="I24" i="7" s="1"/>
  <c r="J24" i="7" s="1"/>
  <c r="L23" i="7"/>
  <c r="L22" i="7"/>
  <c r="H21" i="7"/>
  <c r="G21" i="7"/>
  <c r="F21" i="7"/>
  <c r="H20" i="7"/>
  <c r="H19" i="7"/>
  <c r="L18" i="7"/>
  <c r="L17" i="7"/>
  <c r="G16" i="7"/>
  <c r="F16" i="7"/>
  <c r="D7" i="7"/>
  <c r="G5" i="7"/>
  <c r="F60" i="6"/>
  <c r="E60" i="6"/>
  <c r="F59" i="6"/>
  <c r="E59" i="6"/>
  <c r="I58" i="6"/>
  <c r="H58" i="6"/>
  <c r="G58" i="6"/>
  <c r="F58" i="6"/>
  <c r="E58" i="6"/>
  <c r="J57" i="6"/>
  <c r="I57" i="6"/>
  <c r="H57" i="6"/>
  <c r="G57" i="6"/>
  <c r="F57" i="6"/>
  <c r="E57" i="6"/>
  <c r="K57" i="6" s="1"/>
  <c r="G55" i="6"/>
  <c r="H54" i="6"/>
  <c r="J53" i="6"/>
  <c r="K53" i="6" s="1"/>
  <c r="K52" i="6"/>
  <c r="G51" i="6"/>
  <c r="F51" i="6"/>
  <c r="E51" i="6"/>
  <c r="K50" i="6"/>
  <c r="K49" i="6"/>
  <c r="K48" i="6"/>
  <c r="K47" i="6"/>
  <c r="J46" i="6"/>
  <c r="I46" i="6"/>
  <c r="H46" i="6"/>
  <c r="G46" i="6"/>
  <c r="F46" i="6"/>
  <c r="E46" i="6"/>
  <c r="K45" i="6"/>
  <c r="H44" i="6"/>
  <c r="H41" i="6" s="1"/>
  <c r="K43" i="6"/>
  <c r="K42" i="6"/>
  <c r="G41" i="6"/>
  <c r="F41" i="6"/>
  <c r="E41" i="6"/>
  <c r="K40" i="6"/>
  <c r="G39" i="6"/>
  <c r="H39" i="6" s="1"/>
  <c r="I39" i="6" s="1"/>
  <c r="G36" i="6"/>
  <c r="F36" i="6"/>
  <c r="E36" i="6"/>
  <c r="K35" i="6"/>
  <c r="G34" i="6"/>
  <c r="K33" i="6"/>
  <c r="K32" i="6"/>
  <c r="F31" i="6"/>
  <c r="E31" i="6"/>
  <c r="K30" i="6"/>
  <c r="G29" i="6"/>
  <c r="H29" i="6" s="1"/>
  <c r="J28" i="6"/>
  <c r="J58" i="6" s="1"/>
  <c r="K27" i="6"/>
  <c r="G26" i="6"/>
  <c r="F26" i="6"/>
  <c r="E26" i="6"/>
  <c r="G25" i="6"/>
  <c r="G24" i="6"/>
  <c r="H24" i="6" s="1"/>
  <c r="I24" i="6" s="1"/>
  <c r="K23" i="6"/>
  <c r="K22" i="6"/>
  <c r="G21" i="6"/>
  <c r="F21" i="6"/>
  <c r="E21" i="6"/>
  <c r="G20" i="6"/>
  <c r="G19" i="6"/>
  <c r="G59" i="6" s="1"/>
  <c r="K18" i="6"/>
  <c r="K17" i="6"/>
  <c r="F16" i="6"/>
  <c r="E16" i="6"/>
  <c r="E56" i="6" s="1"/>
  <c r="D7" i="6"/>
  <c r="F5" i="6"/>
  <c r="D7" i="5"/>
  <c r="G55" i="5"/>
  <c r="H55" i="5" s="1"/>
  <c r="I55" i="5" s="1"/>
  <c r="J55" i="5" s="1"/>
  <c r="H54" i="5"/>
  <c r="I54" i="5" s="1"/>
  <c r="J54" i="5" s="1"/>
  <c r="H44" i="5"/>
  <c r="I44" i="5" s="1"/>
  <c r="J44" i="5" s="1"/>
  <c r="G39" i="5"/>
  <c r="H39" i="5" s="1"/>
  <c r="I39" i="5" s="1"/>
  <c r="J39" i="5" s="1"/>
  <c r="G34" i="5"/>
  <c r="H34" i="5" s="1"/>
  <c r="I34" i="5" s="1"/>
  <c r="J34" i="5" s="1"/>
  <c r="G25" i="5"/>
  <c r="H25" i="5" s="1"/>
  <c r="I25" i="5" s="1"/>
  <c r="J25" i="5" s="1"/>
  <c r="G29" i="5"/>
  <c r="H29" i="5" s="1"/>
  <c r="I29" i="5" s="1"/>
  <c r="J29" i="5" s="1"/>
  <c r="G24" i="5"/>
  <c r="H24" i="5" s="1"/>
  <c r="I24" i="5" s="1"/>
  <c r="J24" i="5" s="1"/>
  <c r="G20" i="5"/>
  <c r="H20" i="5" s="1"/>
  <c r="I20" i="5" s="1"/>
  <c r="J20" i="5" s="1"/>
  <c r="G19" i="5"/>
  <c r="H19" i="5" s="1"/>
  <c r="I19" i="5" s="1"/>
  <c r="J19" i="5" s="1"/>
  <c r="J126" i="9" l="1"/>
  <c r="K126" i="9"/>
  <c r="K26" i="9"/>
  <c r="K41" i="9" s="1"/>
  <c r="F56" i="6"/>
  <c r="G60" i="6"/>
  <c r="K46" i="6"/>
  <c r="H59" i="7"/>
  <c r="H63" i="7" s="1"/>
  <c r="L57" i="7"/>
  <c r="G63" i="6"/>
  <c r="H60" i="7"/>
  <c r="I20" i="7"/>
  <c r="L28" i="7"/>
  <c r="K56" i="9"/>
  <c r="K24" i="9"/>
  <c r="K21" i="9" s="1"/>
  <c r="G57" i="8"/>
  <c r="I29" i="6"/>
  <c r="I26" i="6" s="1"/>
  <c r="H26" i="6"/>
  <c r="H20" i="6"/>
  <c r="H36" i="7"/>
  <c r="L46" i="7"/>
  <c r="K28" i="6"/>
  <c r="I15" i="8"/>
  <c r="H60" i="8"/>
  <c r="H12" i="8"/>
  <c r="H61" i="8"/>
  <c r="I16" i="8"/>
  <c r="I20" i="8"/>
  <c r="H17" i="8"/>
  <c r="J25" i="8"/>
  <c r="I22" i="8"/>
  <c r="H47" i="8"/>
  <c r="I37" i="8"/>
  <c r="J40" i="8"/>
  <c r="J37" i="8" s="1"/>
  <c r="J35" i="8"/>
  <c r="I32" i="8"/>
  <c r="J30" i="8"/>
  <c r="I27" i="8"/>
  <c r="J50" i="8"/>
  <c r="I47" i="8"/>
  <c r="K51" i="8"/>
  <c r="J29" i="7"/>
  <c r="K29" i="7" s="1"/>
  <c r="K26" i="7" s="1"/>
  <c r="I26" i="7"/>
  <c r="G56" i="7"/>
  <c r="H26" i="7"/>
  <c r="F56" i="7"/>
  <c r="L58" i="7"/>
  <c r="K24" i="7"/>
  <c r="K39" i="7"/>
  <c r="K36" i="7" s="1"/>
  <c r="J36" i="7"/>
  <c r="H5" i="7"/>
  <c r="H16" i="7"/>
  <c r="I19" i="7"/>
  <c r="J20" i="7"/>
  <c r="I25" i="7"/>
  <c r="J25" i="7" s="1"/>
  <c r="K25" i="7" s="1"/>
  <c r="H31" i="7"/>
  <c r="I34" i="7"/>
  <c r="I36" i="7"/>
  <c r="J44" i="7"/>
  <c r="J54" i="7"/>
  <c r="I55" i="7"/>
  <c r="J55" i="7" s="1"/>
  <c r="K55" i="7" s="1"/>
  <c r="K58" i="6"/>
  <c r="J24" i="6"/>
  <c r="J29" i="6"/>
  <c r="J26" i="6" s="1"/>
  <c r="J39" i="6"/>
  <c r="J36" i="6" s="1"/>
  <c r="I36" i="6"/>
  <c r="G5" i="6"/>
  <c r="G16" i="6"/>
  <c r="H19" i="6"/>
  <c r="I20" i="6"/>
  <c r="H25" i="6"/>
  <c r="I25" i="6" s="1"/>
  <c r="J25" i="6" s="1"/>
  <c r="G31" i="6"/>
  <c r="H34" i="6"/>
  <c r="H36" i="6"/>
  <c r="I44" i="6"/>
  <c r="I54" i="6"/>
  <c r="H55" i="6"/>
  <c r="I55" i="6" s="1"/>
  <c r="J55" i="6" s="1"/>
  <c r="I60" i="5"/>
  <c r="I59" i="5"/>
  <c r="H59" i="5"/>
  <c r="I58" i="5"/>
  <c r="H58" i="5"/>
  <c r="G58" i="5"/>
  <c r="J57" i="5"/>
  <c r="I57" i="5"/>
  <c r="H57" i="5"/>
  <c r="G57" i="5"/>
  <c r="K39" i="5"/>
  <c r="F60" i="5"/>
  <c r="E60" i="5"/>
  <c r="F59" i="5"/>
  <c r="E59" i="5"/>
  <c r="F58" i="5"/>
  <c r="E58" i="5"/>
  <c r="F57" i="5"/>
  <c r="E57" i="5"/>
  <c r="F51" i="5"/>
  <c r="E51" i="5"/>
  <c r="F46" i="5"/>
  <c r="E46" i="5"/>
  <c r="F41" i="5"/>
  <c r="E41" i="5"/>
  <c r="F36" i="5"/>
  <c r="E36" i="5"/>
  <c r="F31" i="5"/>
  <c r="E31" i="5"/>
  <c r="F26" i="5"/>
  <c r="E26" i="5"/>
  <c r="F21" i="5"/>
  <c r="E21" i="5"/>
  <c r="F16" i="5"/>
  <c r="F56" i="5" s="1"/>
  <c r="E16" i="5"/>
  <c r="I21" i="7" l="1"/>
  <c r="K66" i="9"/>
  <c r="K76" i="9" s="1"/>
  <c r="L36" i="7"/>
  <c r="K111" i="9"/>
  <c r="K20" i="9"/>
  <c r="K16" i="9" s="1"/>
  <c r="H57" i="8"/>
  <c r="I51" i="7"/>
  <c r="K57" i="5"/>
  <c r="H51" i="6"/>
  <c r="K36" i="6"/>
  <c r="H21" i="6"/>
  <c r="J26" i="7"/>
  <c r="I60" i="8"/>
  <c r="J15" i="8"/>
  <c r="J22" i="8"/>
  <c r="K25" i="8"/>
  <c r="K22" i="8" s="1"/>
  <c r="J20" i="8"/>
  <c r="I17" i="8"/>
  <c r="J47" i="8"/>
  <c r="K50" i="8"/>
  <c r="K47" i="8" s="1"/>
  <c r="J27" i="8"/>
  <c r="K30" i="8"/>
  <c r="K27" i="8" s="1"/>
  <c r="J32" i="8"/>
  <c r="K32" i="8" s="1"/>
  <c r="K35" i="8"/>
  <c r="I61" i="8"/>
  <c r="J16" i="8"/>
  <c r="I12" i="8"/>
  <c r="K40" i="8"/>
  <c r="K37" i="8" s="1"/>
  <c r="K44" i="7"/>
  <c r="K41" i="7" s="1"/>
  <c r="J41" i="7"/>
  <c r="J34" i="7"/>
  <c r="I31" i="7"/>
  <c r="J19" i="7"/>
  <c r="I16" i="7"/>
  <c r="I56" i="7" s="1"/>
  <c r="I59" i="7"/>
  <c r="I5" i="7"/>
  <c r="I63" i="7"/>
  <c r="J21" i="7"/>
  <c r="L39" i="7"/>
  <c r="L25" i="7"/>
  <c r="I60" i="7"/>
  <c r="K54" i="7"/>
  <c r="K51" i="7" s="1"/>
  <c r="J51" i="7"/>
  <c r="K20" i="7"/>
  <c r="K60" i="7" s="1"/>
  <c r="J60" i="7"/>
  <c r="H56" i="7"/>
  <c r="L55" i="7"/>
  <c r="L44" i="7"/>
  <c r="L41" i="7" s="1"/>
  <c r="K21" i="7"/>
  <c r="L54" i="7"/>
  <c r="L29" i="7"/>
  <c r="L26" i="7" s="1"/>
  <c r="L24" i="7"/>
  <c r="L21" i="7" s="1"/>
  <c r="J44" i="6"/>
  <c r="J41" i="6" s="1"/>
  <c r="I41" i="6"/>
  <c r="I34" i="6"/>
  <c r="H31" i="6"/>
  <c r="I19" i="6"/>
  <c r="H16" i="6"/>
  <c r="H56" i="6" s="1"/>
  <c r="H59" i="6"/>
  <c r="H5" i="6"/>
  <c r="H63" i="6"/>
  <c r="I21" i="6"/>
  <c r="K39" i="6"/>
  <c r="K25" i="6"/>
  <c r="H60" i="6"/>
  <c r="J54" i="6"/>
  <c r="J51" i="6" s="1"/>
  <c r="I51" i="6"/>
  <c r="J20" i="6"/>
  <c r="J60" i="6" s="1"/>
  <c r="I60" i="6"/>
  <c r="G56" i="6"/>
  <c r="K55" i="6"/>
  <c r="K44" i="6"/>
  <c r="K41" i="6" s="1"/>
  <c r="J21" i="6"/>
  <c r="K54" i="6"/>
  <c r="K29" i="6"/>
  <c r="K26" i="6" s="1"/>
  <c r="K24" i="6"/>
  <c r="K21" i="6" s="1"/>
  <c r="E56" i="5"/>
  <c r="J60" i="5"/>
  <c r="K54" i="5"/>
  <c r="J53" i="5"/>
  <c r="K52" i="5"/>
  <c r="J51" i="5"/>
  <c r="I51" i="5"/>
  <c r="H51" i="5"/>
  <c r="G51" i="5"/>
  <c r="K50" i="5"/>
  <c r="K49" i="5"/>
  <c r="K48" i="5"/>
  <c r="K47" i="5"/>
  <c r="J46" i="5"/>
  <c r="I46" i="5"/>
  <c r="H46" i="5"/>
  <c r="G46" i="5"/>
  <c r="K45" i="5"/>
  <c r="K44" i="5"/>
  <c r="K43" i="5"/>
  <c r="K42" i="5"/>
  <c r="J41" i="5"/>
  <c r="I41" i="5"/>
  <c r="H41" i="5"/>
  <c r="G41" i="5"/>
  <c r="K40" i="5"/>
  <c r="J36" i="5"/>
  <c r="I36" i="5"/>
  <c r="H36" i="5"/>
  <c r="G36" i="5"/>
  <c r="K35" i="5"/>
  <c r="K33" i="5"/>
  <c r="K32" i="5"/>
  <c r="J31" i="5"/>
  <c r="I31" i="5"/>
  <c r="H31" i="5"/>
  <c r="G31" i="5"/>
  <c r="K30" i="5"/>
  <c r="J28" i="5"/>
  <c r="J26" i="5" s="1"/>
  <c r="I26" i="5"/>
  <c r="H26" i="5"/>
  <c r="G26" i="5"/>
  <c r="H60" i="5"/>
  <c r="G60" i="5"/>
  <c r="J21" i="5"/>
  <c r="K23" i="5"/>
  <c r="K22" i="5"/>
  <c r="I21" i="5"/>
  <c r="K20" i="5"/>
  <c r="G16" i="5"/>
  <c r="I16" i="5"/>
  <c r="H16" i="5"/>
  <c r="F5" i="5"/>
  <c r="F5" i="4"/>
  <c r="G5" i="4" s="1"/>
  <c r="H5" i="4" s="1"/>
  <c r="I5" i="4" s="1"/>
  <c r="J58" i="5" l="1"/>
  <c r="K58" i="5" s="1"/>
  <c r="K51" i="6"/>
  <c r="L51" i="7"/>
  <c r="I57" i="8"/>
  <c r="G5" i="5"/>
  <c r="J60" i="8"/>
  <c r="K60" i="8" s="1"/>
  <c r="K15" i="8"/>
  <c r="J61" i="8"/>
  <c r="K61" i="8" s="1"/>
  <c r="J12" i="8"/>
  <c r="K16" i="8"/>
  <c r="J17" i="8"/>
  <c r="K20" i="8"/>
  <c r="K17" i="8" s="1"/>
  <c r="J5" i="7"/>
  <c r="L60" i="7"/>
  <c r="L20" i="7"/>
  <c r="J59" i="7"/>
  <c r="J63" i="7" s="1"/>
  <c r="K19" i="7"/>
  <c r="J16" i="7"/>
  <c r="L19" i="7"/>
  <c r="L16" i="7" s="1"/>
  <c r="K34" i="7"/>
  <c r="J31" i="7"/>
  <c r="I5" i="6"/>
  <c r="K60" i="6"/>
  <c r="K20" i="6"/>
  <c r="I59" i="6"/>
  <c r="I63" i="6" s="1"/>
  <c r="J19" i="6"/>
  <c r="I16" i="6"/>
  <c r="K19" i="6"/>
  <c r="K16" i="6" s="1"/>
  <c r="J34" i="6"/>
  <c r="I31" i="6"/>
  <c r="K36" i="5"/>
  <c r="K60" i="5"/>
  <c r="K29" i="5"/>
  <c r="G59" i="5"/>
  <c r="G63" i="5" s="1"/>
  <c r="I56" i="5"/>
  <c r="H21" i="5"/>
  <c r="H56" i="5" s="1"/>
  <c r="J59" i="5"/>
  <c r="J16" i="5"/>
  <c r="J56" i="5" s="1"/>
  <c r="K17" i="5"/>
  <c r="G21" i="5"/>
  <c r="G56" i="5" s="1"/>
  <c r="K24" i="5"/>
  <c r="K28" i="5"/>
  <c r="K46" i="5"/>
  <c r="K27" i="5"/>
  <c r="K41" i="5"/>
  <c r="K25" i="5"/>
  <c r="K34" i="5"/>
  <c r="K31" i="5" s="1"/>
  <c r="K53" i="5"/>
  <c r="K18" i="5"/>
  <c r="K55" i="5"/>
  <c r="J56" i="7" l="1"/>
  <c r="J57" i="8"/>
  <c r="K57" i="8" s="1"/>
  <c r="K12" i="8"/>
  <c r="H5" i="5"/>
  <c r="H63" i="5"/>
  <c r="K31" i="7"/>
  <c r="L34" i="7"/>
  <c r="L31" i="7" s="1"/>
  <c r="K16" i="7"/>
  <c r="K56" i="7" s="1"/>
  <c r="L56" i="7" s="1"/>
  <c r="K59" i="7"/>
  <c r="L59" i="7" s="1"/>
  <c r="K7" i="7"/>
  <c r="L8" i="7" s="1"/>
  <c r="J31" i="6"/>
  <c r="K34" i="6"/>
  <c r="K31" i="6" s="1"/>
  <c r="I56" i="6"/>
  <c r="J59" i="6"/>
  <c r="K59" i="6" s="1"/>
  <c r="J16" i="6"/>
  <c r="J56" i="6" s="1"/>
  <c r="J7" i="6"/>
  <c r="K8" i="6" s="1"/>
  <c r="K59" i="5"/>
  <c r="K21" i="5"/>
  <c r="K56" i="5"/>
  <c r="K26" i="5"/>
  <c r="K51" i="5"/>
  <c r="K19" i="5"/>
  <c r="K16" i="5" s="1"/>
  <c r="J63" i="6" l="1"/>
  <c r="I5" i="5"/>
  <c r="J63" i="5" s="1"/>
  <c r="I63" i="5"/>
  <c r="J7" i="5"/>
  <c r="K8" i="5" s="1"/>
  <c r="K63" i="7"/>
  <c r="K56" i="6"/>
</calcChain>
</file>

<file path=xl/sharedStrings.xml><?xml version="1.0" encoding="utf-8"?>
<sst xmlns="http://schemas.openxmlformats.org/spreadsheetml/2006/main" count="597" uniqueCount="86">
  <si>
    <t>2021 год</t>
  </si>
  <si>
    <t>2020 год</t>
  </si>
  <si>
    <t>2019 год</t>
  </si>
  <si>
    <t>2022 год</t>
  </si>
  <si>
    <t>2023 год</t>
  </si>
  <si>
    <t>2024 год</t>
  </si>
  <si>
    <t>2025 год</t>
  </si>
  <si>
    <t>№ п/п</t>
  </si>
  <si>
    <t>1.</t>
  </si>
  <si>
    <t>Наименование показателя</t>
  </si>
  <si>
    <t>Темп роста к предыдущему году</t>
  </si>
  <si>
    <t>Муниципальная программа "Развитие физической культуры и спорта"</t>
  </si>
  <si>
    <t xml:space="preserve">ПРОГНОЗ
расходов на реализацию муниципальной программы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</si>
  <si>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</si>
  <si>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</si>
  <si>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</si>
  <si>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</si>
  <si>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Исполнитель муниципальной программы*</t>
  </si>
  <si>
    <t>Источник финанси-рования**</t>
  </si>
  <si>
    <t>Финансовые затраты, тыс. руб.</t>
  </si>
  <si>
    <t>Всего</t>
  </si>
  <si>
    <t>1.1.</t>
  </si>
  <si>
    <t>Проведение физкультурно-оздоровительных занятий</t>
  </si>
  <si>
    <t>УФКМС</t>
  </si>
  <si>
    <t>ФБ</t>
  </si>
  <si>
    <t>РБ</t>
  </si>
  <si>
    <t>МБ</t>
  </si>
  <si>
    <t>ВБ</t>
  </si>
  <si>
    <t>1.2.</t>
  </si>
  <si>
    <t>Обеспечение доступа к спортивным объектам (предоставление спортивных сооружений муниципальными учреждениями)</t>
  </si>
  <si>
    <t>1.3.</t>
  </si>
  <si>
    <t>Содержание и эксплуатация спортивных сооружений</t>
  </si>
  <si>
    <t>Организация и проведение официальных физкультурно- оздоровительных и спортивных мероприятий муниципального образования «Город Вологда» муниципальными  учреждениями</t>
  </si>
  <si>
    <t>Обеспечение участия спортивных сборных команд в  физкультурно-спортивных мероприятиях различного уровня и осуществление их обеспечения муниципальными учреждениями</t>
  </si>
  <si>
    <t>Содействие субъектам физической культуры и спорта  через предоставление субсидий из бюджета города Вологды на социально значимые цели</t>
  </si>
  <si>
    <t xml:space="preserve">Стипендиальная поддержка  лучших спортсменов муниципального образования «Город Вологда» </t>
  </si>
  <si>
    <t>Спортивная подготовка по олимпийским видам спорта</t>
  </si>
  <si>
    <t>Итого</t>
  </si>
  <si>
    <t>1.4</t>
  </si>
  <si>
    <t>1.5</t>
  </si>
  <si>
    <t>1.6</t>
  </si>
  <si>
    <t>1.7</t>
  </si>
  <si>
    <t>1.8</t>
  </si>
  <si>
    <t>темп роста к предыдущему году (в %)</t>
  </si>
  <si>
    <t>Темп роста к предыдущему году (в %)</t>
  </si>
  <si>
    <t>2020 год (контрольные показатели)</t>
  </si>
  <si>
    <t>2020 год (потребность)</t>
  </si>
  <si>
    <t>Участие в обеспечении подготовки спортивного резерва для спортивных сборных команд субъекта Российской Федерации</t>
  </si>
  <si>
    <t>Приложение № 3</t>
  </si>
  <si>
    <t>к муниципальной программе "Развитие</t>
  </si>
  <si>
    <t>физической культуры и спорта"</t>
  </si>
  <si>
    <t>*  УФКМС - Управление физической культуры и массового спорта Администрации города Вологды;</t>
  </si>
  <si>
    <t>** ФБ – безвозмездные поступления из федерального бюджета;</t>
  </si>
  <si>
    <t xml:space="preserve">    РБ – безвозмездные поступления из областного бюджета (кроме дотаций);</t>
  </si>
  <si>
    <t xml:space="preserve">    МБ – налоговые и неналоговые доходы бюджета города Вологды и дотации из областного бюджета;</t>
  </si>
  <si>
    <t xml:space="preserve">    ВБ – внебюджетные источники финансирования.</t>
  </si>
  <si>
    <t>4</t>
  </si>
  <si>
    <t>5</t>
  </si>
  <si>
    <t>6</t>
  </si>
  <si>
    <t>7</t>
  </si>
  <si>
    <t>8</t>
  </si>
  <si>
    <t>9</t>
  </si>
  <si>
    <t>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</t>
  </si>
  <si>
    <t xml:space="preserve">Реализация муниципальными учреждениями программ спортивной подготовки в соответствии с федеральными стандартами спортивной подготовки </t>
  </si>
  <si>
    <t>Реконструкция подводящего газопровода</t>
  </si>
  <si>
    <t xml:space="preserve">2020 год </t>
  </si>
  <si>
    <t xml:space="preserve">     ДГ - Департамент градостроительства Администрации города Вологды;</t>
  </si>
  <si>
    <t>10</t>
  </si>
  <si>
    <t>ДГ</t>
  </si>
  <si>
    <t>Итого по муниципальной программе</t>
  </si>
  <si>
    <t>Строительство объектов  спортивной инфраструктуры в соответствии с реализуемыми на территории города муниципальными и государственными целевыми программами</t>
  </si>
  <si>
    <t xml:space="preserve">    ВБ – внебюджетные источники финансирования.».</t>
  </si>
  <si>
    <t>к муниципальной программе «Развитие</t>
  </si>
  <si>
    <t xml:space="preserve">физической культуры и спорта» </t>
  </si>
  <si>
    <t xml:space="preserve">Реализация регионального проекта «Спорт-норма жизни» </t>
  </si>
  <si>
    <t>УО</t>
  </si>
  <si>
    <t>Управление образования Администрации города Вологды;</t>
  </si>
  <si>
    <r>
      <t xml:space="preserve">Стипендиальная поддержка  лучших спортсменов </t>
    </r>
    <r>
      <rPr>
        <sz val="11"/>
        <rFont val="Times New Roman"/>
        <family val="1"/>
        <charset val="204"/>
      </rPr>
      <t>городского округа города Вологды</t>
    </r>
  </si>
  <si>
    <r>
      <t xml:space="preserve">Организация и проведение официальных физкультурно- оздоровительных и спортивных мероприятий </t>
    </r>
    <r>
      <rPr>
        <sz val="11"/>
        <rFont val="Times New Roman"/>
        <family val="1"/>
        <charset val="204"/>
      </rPr>
      <t>городского округа города Вологды муниципальными  учреждениями</t>
    </r>
  </si>
  <si>
    <t xml:space="preserve">«Приложение № 3 </t>
  </si>
  <si>
    <t>11</t>
  </si>
  <si>
    <t>Обеспечение выполнения функций Управления физической культуры и массового спорта Администрации города Вологды</t>
  </si>
  <si>
    <t>Приложение № 3 к постановлению Администрации города Вологды                              от ___________ №  _______</t>
  </si>
  <si>
    <t>12</t>
  </si>
  <si>
    <t xml:space="preserve">Реализация муниципальными учреждениями дополнительных образовательных программ спортивной подготовки в соответствии с федеральными стандартами спортивной подготовки </t>
  </si>
  <si>
    <t>Обеспечение антитеррористической защищенности объектов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</si>
</sst>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color theme="1"/>
      <name val="Calibri"/>
      <family val="2"/>
      <scheme val="minor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3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164" fontId="4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3" borderId="0" xfId="0" applyFont="1" applyFill="1"/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/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166" fontId="14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164" fontId="3" fillId="0" borderId="0" xfId="0" applyNumberFormat="1" applyFont="1" applyFill="1"/>
    <xf numFmtId="164" fontId="4" fillId="0" borderId="0" xfId="0" applyNumberFormat="1" applyFont="1" applyFill="1"/>
    <xf numFmtId="0" fontId="1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164" fontId="14" fillId="0" borderId="0" xfId="0" applyNumberFormat="1" applyFont="1" applyFill="1"/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" xfId="1" applyNumberFormat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8"/>
  <sheetViews>
    <sheetView zoomScale="90" zoomScaleNormal="90" workbookViewId="0">
      <selection activeCell="B22" sqref="B22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42578125" bestFit="1" customWidth="1"/>
  </cols>
  <sheetData>
    <row r="1" spans="1:9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</row>
    <row r="2" spans="1:9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9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9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9" ht="31.5" x14ac:dyDescent="0.25">
      <c r="A5" s="10" t="s">
        <v>8</v>
      </c>
      <c r="B5" s="2" t="s">
        <v>11</v>
      </c>
      <c r="C5" s="3">
        <v>110411.6</v>
      </c>
      <c r="D5" s="3">
        <v>120411.6</v>
      </c>
      <c r="E5" s="3">
        <v>120411.6</v>
      </c>
      <c r="F5" s="3">
        <f>E5*F6</f>
        <v>118846.24920000001</v>
      </c>
      <c r="G5" s="3">
        <f>F5*G6</f>
        <v>122055.09792839999</v>
      </c>
      <c r="H5" s="3">
        <f>G5*H6</f>
        <v>125594.69576832358</v>
      </c>
      <c r="I5" s="3">
        <f>H5*I6</f>
        <v>128357.7790752267</v>
      </c>
    </row>
    <row r="6" spans="1:9" s="12" customFormat="1" ht="15.75" x14ac:dyDescent="0.25">
      <c r="A6" s="11"/>
      <c r="B6" s="14" t="s">
        <v>10</v>
      </c>
      <c r="C6" s="15"/>
      <c r="D6" s="15"/>
      <c r="E6" s="15"/>
      <c r="F6" s="16">
        <v>0.98699999999999999</v>
      </c>
      <c r="G6" s="16">
        <v>1.0269999999999999</v>
      </c>
      <c r="H6" s="16">
        <v>1.0289999999999999</v>
      </c>
      <c r="I6" s="16">
        <v>1.022</v>
      </c>
    </row>
    <row r="7" spans="1:9" x14ac:dyDescent="0.25">
      <c r="B7" s="4"/>
      <c r="C7" s="4"/>
      <c r="D7" s="4"/>
      <c r="E7" s="4"/>
      <c r="F7" s="4"/>
      <c r="G7" s="4"/>
      <c r="H7" s="4"/>
      <c r="I7" s="4"/>
    </row>
    <row r="8" spans="1:9" x14ac:dyDescent="0.25">
      <c r="B8" s="5"/>
      <c r="C8" s="13"/>
      <c r="D8" s="13"/>
      <c r="E8" s="13"/>
      <c r="F8" s="13"/>
      <c r="G8" s="13"/>
      <c r="H8" s="13"/>
      <c r="I8" s="13"/>
    </row>
  </sheetData>
  <mergeCells count="1">
    <mergeCell ref="A1:I1"/>
  </mergeCells>
  <pageMargins left="0.51181102362204722" right="0.31496062992125984" top="0.55118110236220474" bottom="0.19685039370078741" header="0" footer="0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A9" sqref="A9:K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61" t="s">
        <v>14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x14ac:dyDescent="0.25">
      <c r="A10" s="61" t="s">
        <v>15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2" t="s">
        <v>7</v>
      </c>
      <c r="B12" s="62" t="s">
        <v>16</v>
      </c>
      <c r="C12" s="62" t="s">
        <v>17</v>
      </c>
      <c r="D12" s="62" t="s">
        <v>18</v>
      </c>
      <c r="E12" s="62" t="s">
        <v>19</v>
      </c>
      <c r="F12" s="62"/>
      <c r="G12" s="62"/>
      <c r="H12" s="62"/>
      <c r="I12" s="62"/>
      <c r="J12" s="62"/>
      <c r="K12" s="62"/>
    </row>
    <row r="13" spans="1:1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</row>
    <row r="14" spans="1:11" x14ac:dyDescent="0.25">
      <c r="A14" s="62"/>
      <c r="B14" s="62"/>
      <c r="C14" s="62"/>
      <c r="D14" s="62"/>
      <c r="E14" s="19" t="s">
        <v>1</v>
      </c>
      <c r="F14" s="19" t="s">
        <v>0</v>
      </c>
      <c r="G14" s="20" t="s">
        <v>3</v>
      </c>
      <c r="H14" s="19" t="s">
        <v>4</v>
      </c>
      <c r="I14" s="19" t="s">
        <v>5</v>
      </c>
      <c r="J14" s="19" t="s">
        <v>6</v>
      </c>
      <c r="K14" s="19" t="s">
        <v>20</v>
      </c>
    </row>
    <row r="15" spans="1:11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</row>
    <row r="16" spans="1:11" x14ac:dyDescent="0.25">
      <c r="A16" s="65" t="s">
        <v>21</v>
      </c>
      <c r="B16" s="66" t="s">
        <v>22</v>
      </c>
      <c r="C16" s="62" t="s">
        <v>23</v>
      </c>
      <c r="D16" s="19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65"/>
      <c r="B17" s="66"/>
      <c r="C17" s="62"/>
      <c r="D17" s="1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65"/>
      <c r="B18" s="66"/>
      <c r="C18" s="62"/>
      <c r="D18" s="19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65"/>
      <c r="B19" s="66"/>
      <c r="C19" s="62"/>
      <c r="D19" s="19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65"/>
      <c r="B20" s="66"/>
      <c r="C20" s="62"/>
      <c r="D20" s="19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67" t="s">
        <v>28</v>
      </c>
      <c r="B21" s="69" t="s">
        <v>29</v>
      </c>
      <c r="C21" s="71" t="s">
        <v>23</v>
      </c>
      <c r="D21" s="19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68"/>
      <c r="B22" s="70"/>
      <c r="C22" s="72"/>
      <c r="D22" s="1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68"/>
      <c r="B23" s="70"/>
      <c r="C23" s="72"/>
      <c r="D23" s="19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68"/>
      <c r="B24" s="70"/>
      <c r="C24" s="72"/>
      <c r="D24" s="19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68"/>
      <c r="B25" s="70"/>
      <c r="C25" s="73"/>
      <c r="D25" s="19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3" t="s">
        <v>30</v>
      </c>
      <c r="B26" s="64" t="s">
        <v>31</v>
      </c>
      <c r="C26" s="62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3"/>
      <c r="B27" s="64"/>
      <c r="C27" s="62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3"/>
      <c r="B28" s="64"/>
      <c r="C28" s="62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3"/>
      <c r="B29" s="64"/>
      <c r="C29" s="62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3"/>
      <c r="B30" s="64"/>
      <c r="C30" s="62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74" t="s">
        <v>38</v>
      </c>
      <c r="B31" s="64" t="s">
        <v>32</v>
      </c>
      <c r="C31" s="62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74"/>
      <c r="B32" s="64"/>
      <c r="C32" s="62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74"/>
      <c r="B33" s="64"/>
      <c r="C33" s="62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74"/>
      <c r="B34" s="64"/>
      <c r="C34" s="62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74"/>
      <c r="B35" s="64"/>
      <c r="C35" s="62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74" t="s">
        <v>39</v>
      </c>
      <c r="B36" s="64" t="s">
        <v>33</v>
      </c>
      <c r="C36" s="62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74"/>
      <c r="B37" s="64"/>
      <c r="C37" s="62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74"/>
      <c r="B38" s="64"/>
      <c r="C38" s="62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74"/>
      <c r="B39" s="64"/>
      <c r="C39" s="62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74"/>
      <c r="B40" s="64"/>
      <c r="C40" s="62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74" t="s">
        <v>40</v>
      </c>
      <c r="B41" s="64" t="s">
        <v>34</v>
      </c>
      <c r="C41" s="62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74"/>
      <c r="B42" s="64"/>
      <c r="C42" s="62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74"/>
      <c r="B43" s="64"/>
      <c r="C43" s="62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4"/>
      <c r="B44" s="64"/>
      <c r="C44" s="62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74"/>
      <c r="B45" s="64"/>
      <c r="C45" s="62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74" t="s">
        <v>41</v>
      </c>
      <c r="B46" s="64" t="s">
        <v>35</v>
      </c>
      <c r="C46" s="62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74"/>
      <c r="B47" s="64"/>
      <c r="C47" s="62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4"/>
      <c r="B48" s="64"/>
      <c r="C48" s="62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4"/>
      <c r="B49" s="64"/>
      <c r="C49" s="62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74"/>
      <c r="B50" s="64"/>
      <c r="C50" s="62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4" t="s">
        <v>42</v>
      </c>
      <c r="B51" s="75" t="s">
        <v>36</v>
      </c>
      <c r="C51" s="62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74"/>
      <c r="B52" s="76"/>
      <c r="C52" s="62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74"/>
      <c r="B53" s="76"/>
      <c r="C53" s="62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74"/>
      <c r="B54" s="76"/>
      <c r="C54" s="62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74"/>
      <c r="B55" s="77"/>
      <c r="C55" s="62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2"/>
      <c r="B56" s="62"/>
      <c r="C56" s="62" t="s">
        <v>37</v>
      </c>
      <c r="D56" s="19" t="s">
        <v>20</v>
      </c>
      <c r="E56" s="21">
        <f t="shared" ref="E56:F60" si="8">E16+E21+E26+E31+E36+E41+E46+E51</f>
        <v>210629.2</v>
      </c>
      <c r="F56" s="21">
        <f t="shared" si="8"/>
        <v>213283.3</v>
      </c>
      <c r="G56" s="21">
        <f t="shared" ref="G56:J56" si="9">G16+G21+G26+G31+G36+G41+G46+G51</f>
        <v>190024.58920000002</v>
      </c>
      <c r="H56" s="21">
        <f t="shared" si="9"/>
        <v>195333.28147600003</v>
      </c>
      <c r="I56" s="21">
        <f t="shared" si="9"/>
        <v>200984.27502232866</v>
      </c>
      <c r="J56" s="21">
        <f t="shared" si="9"/>
        <v>206117.2175448357</v>
      </c>
      <c r="K56" s="21">
        <f t="shared" ref="K56:K60" si="10">SUM(E56:J56)</f>
        <v>1216371.8632431645</v>
      </c>
    </row>
    <row r="57" spans="1:11" x14ac:dyDescent="0.25">
      <c r="A57" s="62"/>
      <c r="B57" s="62"/>
      <c r="C57" s="62"/>
      <c r="D57" s="19" t="s">
        <v>24</v>
      </c>
      <c r="E57" s="21">
        <f t="shared" si="8"/>
        <v>0</v>
      </c>
      <c r="F57" s="21">
        <f t="shared" si="8"/>
        <v>0</v>
      </c>
      <c r="G57" s="21">
        <f t="shared" ref="G57:J57" si="11">G17+G22+G27+G32+G37+G42+G47+G52</f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  <c r="K57" s="21">
        <f t="shared" si="10"/>
        <v>0</v>
      </c>
    </row>
    <row r="58" spans="1:11" x14ac:dyDescent="0.25">
      <c r="A58" s="62"/>
      <c r="B58" s="62"/>
      <c r="C58" s="62"/>
      <c r="D58" s="19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ref="G58:J58" si="12">G18+G23+G28+G33+G38+G43+G48+G53</f>
        <v>0</v>
      </c>
      <c r="H58" s="21">
        <f t="shared" si="12"/>
        <v>0</v>
      </c>
      <c r="I58" s="21">
        <f t="shared" si="12"/>
        <v>0</v>
      </c>
      <c r="J58" s="21">
        <f t="shared" si="12"/>
        <v>0</v>
      </c>
      <c r="K58" s="21">
        <f t="shared" si="10"/>
        <v>9565.2000000000007</v>
      </c>
    </row>
    <row r="59" spans="1:11" x14ac:dyDescent="0.25">
      <c r="A59" s="62"/>
      <c r="B59" s="62"/>
      <c r="C59" s="62"/>
      <c r="D59" s="19" t="s">
        <v>26</v>
      </c>
      <c r="E59" s="21">
        <f t="shared" si="8"/>
        <v>115629</v>
      </c>
      <c r="F59" s="21">
        <f t="shared" si="8"/>
        <v>115629</v>
      </c>
      <c r="G59" s="21">
        <f t="shared" ref="G59:J59" si="13">G19+G24+G29+G34+G39+G44+G49+G54</f>
        <v>94427.097500000003</v>
      </c>
      <c r="H59" s="21">
        <f t="shared" si="13"/>
        <v>96928.029132500014</v>
      </c>
      <c r="I59" s="21">
        <f t="shared" si="13"/>
        <v>99686.741977342521</v>
      </c>
      <c r="J59" s="21">
        <f t="shared" si="13"/>
        <v>101840.25030084407</v>
      </c>
      <c r="K59" s="21">
        <f t="shared" si="10"/>
        <v>624140.11891068658</v>
      </c>
    </row>
    <row r="60" spans="1:11" x14ac:dyDescent="0.25">
      <c r="A60" s="62"/>
      <c r="B60" s="62"/>
      <c r="C60" s="62"/>
      <c r="D60" s="19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ref="G60:J60" si="14">G20+G25+G30+G35+G40+G45+G50+G55</f>
        <v>95597.491700000013</v>
      </c>
      <c r="H60" s="21">
        <f t="shared" si="14"/>
        <v>98405.252343500018</v>
      </c>
      <c r="I60" s="21">
        <f t="shared" si="14"/>
        <v>101297.53304498614</v>
      </c>
      <c r="J60" s="21">
        <f t="shared" si="14"/>
        <v>104276.96724399168</v>
      </c>
      <c r="K60" s="21">
        <f t="shared" si="10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1:A55"/>
    <mergeCell ref="B51:B55"/>
    <mergeCell ref="C51:C55"/>
    <mergeCell ref="A56:B60"/>
    <mergeCell ref="C56:C60"/>
    <mergeCell ref="A41:A45"/>
    <mergeCell ref="B41:B45"/>
    <mergeCell ref="C41:C45"/>
    <mergeCell ref="A46:A50"/>
    <mergeCell ref="B46:B50"/>
    <mergeCell ref="C46:C50"/>
    <mergeCell ref="A31:A35"/>
    <mergeCell ref="B31:B35"/>
    <mergeCell ref="C31:C35"/>
    <mergeCell ref="A36:A40"/>
    <mergeCell ref="B36:B40"/>
    <mergeCell ref="C36:C40"/>
    <mergeCell ref="A26:A30"/>
    <mergeCell ref="B26:B30"/>
    <mergeCell ref="C26:C30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J7" sqref="J7:J8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</row>
    <row r="2" spans="1:11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 x14ac:dyDescent="0.25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 x14ac:dyDescent="0.2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 x14ac:dyDescent="0.2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 x14ac:dyDescent="0.25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 x14ac:dyDescent="0.25">
      <c r="A9" s="61" t="s">
        <v>14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x14ac:dyDescent="0.25">
      <c r="A10" s="61" t="s">
        <v>15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1" x14ac:dyDescent="0.25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 x14ac:dyDescent="0.25">
      <c r="A12" s="62" t="s">
        <v>7</v>
      </c>
      <c r="B12" s="62" t="s">
        <v>16</v>
      </c>
      <c r="C12" s="62" t="s">
        <v>17</v>
      </c>
      <c r="D12" s="62" t="s">
        <v>18</v>
      </c>
      <c r="E12" s="62" t="s">
        <v>19</v>
      </c>
      <c r="F12" s="62"/>
      <c r="G12" s="62"/>
      <c r="H12" s="62"/>
      <c r="I12" s="62"/>
      <c r="J12" s="62"/>
      <c r="K12" s="62"/>
    </row>
    <row r="13" spans="1:1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</row>
    <row r="14" spans="1:11" x14ac:dyDescent="0.25">
      <c r="A14" s="62"/>
      <c r="B14" s="62"/>
      <c r="C14" s="62"/>
      <c r="D14" s="62"/>
      <c r="E14" s="24" t="s">
        <v>1</v>
      </c>
      <c r="F14" s="24" t="s">
        <v>0</v>
      </c>
      <c r="G14" s="20" t="s">
        <v>3</v>
      </c>
      <c r="H14" s="24" t="s">
        <v>4</v>
      </c>
      <c r="I14" s="24" t="s">
        <v>5</v>
      </c>
      <c r="J14" s="24" t="s">
        <v>6</v>
      </c>
      <c r="K14" s="24" t="s">
        <v>20</v>
      </c>
    </row>
    <row r="15" spans="1:11" x14ac:dyDescent="0.25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</row>
    <row r="16" spans="1:11" x14ac:dyDescent="0.25">
      <c r="A16" s="65" t="s">
        <v>21</v>
      </c>
      <c r="B16" s="66" t="s">
        <v>22</v>
      </c>
      <c r="C16" s="62" t="s">
        <v>23</v>
      </c>
      <c r="D16" s="24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 x14ac:dyDescent="0.25">
      <c r="A17" s="65"/>
      <c r="B17" s="66"/>
      <c r="C17" s="62"/>
      <c r="D17" s="24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65"/>
      <c r="B18" s="66"/>
      <c r="C18" s="62"/>
      <c r="D18" s="24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 x14ac:dyDescent="0.25">
      <c r="A19" s="65"/>
      <c r="B19" s="66"/>
      <c r="C19" s="62"/>
      <c r="D19" s="24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 x14ac:dyDescent="0.25">
      <c r="A20" s="65"/>
      <c r="B20" s="66"/>
      <c r="C20" s="62"/>
      <c r="D20" s="24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 x14ac:dyDescent="0.25">
      <c r="A21" s="67" t="s">
        <v>28</v>
      </c>
      <c r="B21" s="69" t="s">
        <v>29</v>
      </c>
      <c r="C21" s="71" t="s">
        <v>23</v>
      </c>
      <c r="D21" s="24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 x14ac:dyDescent="0.25">
      <c r="A22" s="68"/>
      <c r="B22" s="70"/>
      <c r="C22" s="72"/>
      <c r="D22" s="24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68"/>
      <c r="B23" s="70"/>
      <c r="C23" s="72"/>
      <c r="D23" s="24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68"/>
      <c r="B24" s="70"/>
      <c r="C24" s="72"/>
      <c r="D24" s="24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 x14ac:dyDescent="0.25">
      <c r="A25" s="68"/>
      <c r="B25" s="70"/>
      <c r="C25" s="73"/>
      <c r="D25" s="24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 x14ac:dyDescent="0.25">
      <c r="A26" s="63" t="s">
        <v>30</v>
      </c>
      <c r="B26" s="64" t="s">
        <v>31</v>
      </c>
      <c r="C26" s="62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 x14ac:dyDescent="0.25">
      <c r="A27" s="63"/>
      <c r="B27" s="64"/>
      <c r="C27" s="62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 x14ac:dyDescent="0.25">
      <c r="A28" s="63"/>
      <c r="B28" s="64"/>
      <c r="C28" s="62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 x14ac:dyDescent="0.25">
      <c r="A29" s="63"/>
      <c r="B29" s="64"/>
      <c r="C29" s="62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 x14ac:dyDescent="0.25">
      <c r="A30" s="63"/>
      <c r="B30" s="64"/>
      <c r="C30" s="62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 x14ac:dyDescent="0.25">
      <c r="A31" s="74" t="s">
        <v>38</v>
      </c>
      <c r="B31" s="64" t="s">
        <v>32</v>
      </c>
      <c r="C31" s="62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 x14ac:dyDescent="0.25">
      <c r="A32" s="74"/>
      <c r="B32" s="64"/>
      <c r="C32" s="62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 x14ac:dyDescent="0.25">
      <c r="A33" s="74"/>
      <c r="B33" s="64"/>
      <c r="C33" s="62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 x14ac:dyDescent="0.25">
      <c r="A34" s="74"/>
      <c r="B34" s="64"/>
      <c r="C34" s="62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 x14ac:dyDescent="0.25">
      <c r="A35" s="74"/>
      <c r="B35" s="64"/>
      <c r="C35" s="62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 x14ac:dyDescent="0.25">
      <c r="A36" s="74" t="s">
        <v>39</v>
      </c>
      <c r="B36" s="64" t="s">
        <v>33</v>
      </c>
      <c r="C36" s="62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 x14ac:dyDescent="0.25">
      <c r="A37" s="74"/>
      <c r="B37" s="64"/>
      <c r="C37" s="62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 x14ac:dyDescent="0.25">
      <c r="A38" s="74"/>
      <c r="B38" s="64"/>
      <c r="C38" s="62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 x14ac:dyDescent="0.25">
      <c r="A39" s="74"/>
      <c r="B39" s="64"/>
      <c r="C39" s="62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 x14ac:dyDescent="0.25">
      <c r="A40" s="74"/>
      <c r="B40" s="64"/>
      <c r="C40" s="62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 x14ac:dyDescent="0.25">
      <c r="A41" s="74" t="s">
        <v>40</v>
      </c>
      <c r="B41" s="64" t="s">
        <v>34</v>
      </c>
      <c r="C41" s="62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 x14ac:dyDescent="0.25">
      <c r="A42" s="74"/>
      <c r="B42" s="64"/>
      <c r="C42" s="62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 x14ac:dyDescent="0.25">
      <c r="A43" s="74"/>
      <c r="B43" s="64"/>
      <c r="C43" s="62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4"/>
      <c r="B44" s="64"/>
      <c r="C44" s="62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 x14ac:dyDescent="0.25">
      <c r="A45" s="74"/>
      <c r="B45" s="64"/>
      <c r="C45" s="62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 x14ac:dyDescent="0.25">
      <c r="A46" s="74" t="s">
        <v>41</v>
      </c>
      <c r="B46" s="64" t="s">
        <v>35</v>
      </c>
      <c r="C46" s="62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 x14ac:dyDescent="0.25">
      <c r="A47" s="74"/>
      <c r="B47" s="64"/>
      <c r="C47" s="62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4"/>
      <c r="B48" s="64"/>
      <c r="C48" s="62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4"/>
      <c r="B49" s="64"/>
      <c r="C49" s="62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 x14ac:dyDescent="0.25">
      <c r="A50" s="74"/>
      <c r="B50" s="64"/>
      <c r="C50" s="62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4" t="s">
        <v>42</v>
      </c>
      <c r="B51" s="75" t="s">
        <v>36</v>
      </c>
      <c r="C51" s="62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 x14ac:dyDescent="0.25">
      <c r="A52" s="74"/>
      <c r="B52" s="76"/>
      <c r="C52" s="62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 x14ac:dyDescent="0.25">
      <c r="A53" s="74"/>
      <c r="B53" s="76"/>
      <c r="C53" s="62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 x14ac:dyDescent="0.25">
      <c r="A54" s="74"/>
      <c r="B54" s="76"/>
      <c r="C54" s="62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 x14ac:dyDescent="0.25">
      <c r="A55" s="74"/>
      <c r="B55" s="77"/>
      <c r="C55" s="62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 x14ac:dyDescent="0.25">
      <c r="A56" s="62"/>
      <c r="B56" s="62"/>
      <c r="C56" s="62" t="s">
        <v>37</v>
      </c>
      <c r="D56" s="24" t="s">
        <v>20</v>
      </c>
      <c r="E56" s="21">
        <f t="shared" ref="E56:J60" si="8">E16+E21+E26+E31+E36+E41+E46+E51</f>
        <v>210629.2</v>
      </c>
      <c r="F56" s="21">
        <f t="shared" si="8"/>
        <v>213283.3</v>
      </c>
      <c r="G56" s="21">
        <f t="shared" si="8"/>
        <v>190024.58920000002</v>
      </c>
      <c r="H56" s="21">
        <f t="shared" si="8"/>
        <v>195333.28147600003</v>
      </c>
      <c r="I56" s="21">
        <f t="shared" si="8"/>
        <v>200984.27502232866</v>
      </c>
      <c r="J56" s="21">
        <f t="shared" si="8"/>
        <v>206117.2175448357</v>
      </c>
      <c r="K56" s="21">
        <f t="shared" ref="K56:K60" si="9">SUM(E56:J56)</f>
        <v>1216371.8632431645</v>
      </c>
    </row>
    <row r="57" spans="1:11" x14ac:dyDescent="0.25">
      <c r="A57" s="62"/>
      <c r="B57" s="62"/>
      <c r="C57" s="62"/>
      <c r="D57" s="24" t="s">
        <v>24</v>
      </c>
      <c r="E57" s="21">
        <f t="shared" si="8"/>
        <v>0</v>
      </c>
      <c r="F57" s="21">
        <f t="shared" si="8"/>
        <v>0</v>
      </c>
      <c r="G57" s="21">
        <f t="shared" si="8"/>
        <v>0</v>
      </c>
      <c r="H57" s="21">
        <f t="shared" si="8"/>
        <v>0</v>
      </c>
      <c r="I57" s="21">
        <f t="shared" si="8"/>
        <v>0</v>
      </c>
      <c r="J57" s="21">
        <f t="shared" si="8"/>
        <v>0</v>
      </c>
      <c r="K57" s="21">
        <f t="shared" si="9"/>
        <v>0</v>
      </c>
    </row>
    <row r="58" spans="1:11" x14ac:dyDescent="0.25">
      <c r="A58" s="62"/>
      <c r="B58" s="62"/>
      <c r="C58" s="62"/>
      <c r="D58" s="24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si="8"/>
        <v>0</v>
      </c>
      <c r="H58" s="21">
        <f t="shared" si="8"/>
        <v>0</v>
      </c>
      <c r="I58" s="21">
        <f t="shared" si="8"/>
        <v>0</v>
      </c>
      <c r="J58" s="21">
        <f t="shared" si="8"/>
        <v>0</v>
      </c>
      <c r="K58" s="21">
        <f t="shared" si="9"/>
        <v>9565.2000000000007</v>
      </c>
    </row>
    <row r="59" spans="1:11" x14ac:dyDescent="0.25">
      <c r="A59" s="62"/>
      <c r="B59" s="62"/>
      <c r="C59" s="62"/>
      <c r="D59" s="24" t="s">
        <v>26</v>
      </c>
      <c r="E59" s="21">
        <f t="shared" si="8"/>
        <v>115629</v>
      </c>
      <c r="F59" s="21">
        <f t="shared" si="8"/>
        <v>115629</v>
      </c>
      <c r="G59" s="21">
        <f t="shared" si="8"/>
        <v>94427.097500000003</v>
      </c>
      <c r="H59" s="21">
        <f t="shared" si="8"/>
        <v>96928.029132500014</v>
      </c>
      <c r="I59" s="21">
        <f t="shared" si="8"/>
        <v>99686.741977342521</v>
      </c>
      <c r="J59" s="21">
        <f t="shared" si="8"/>
        <v>101840.25030084407</v>
      </c>
      <c r="K59" s="21">
        <f t="shared" si="9"/>
        <v>624140.11891068658</v>
      </c>
    </row>
    <row r="60" spans="1:11" x14ac:dyDescent="0.25">
      <c r="A60" s="62"/>
      <c r="B60" s="62"/>
      <c r="C60" s="62"/>
      <c r="D60" s="24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si="8"/>
        <v>95597.491700000013</v>
      </c>
      <c r="H60" s="21">
        <f t="shared" si="8"/>
        <v>98405.252343500018</v>
      </c>
      <c r="I60" s="21">
        <f t="shared" si="8"/>
        <v>101297.53304498614</v>
      </c>
      <c r="J60" s="21">
        <f t="shared" si="8"/>
        <v>104276.96724399168</v>
      </c>
      <c r="K60" s="21">
        <f t="shared" si="9"/>
        <v>582666.54433247785</v>
      </c>
    </row>
    <row r="63" spans="1:11" x14ac:dyDescent="0.25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6:B60"/>
    <mergeCell ref="C56:C60"/>
    <mergeCell ref="A46:A50"/>
    <mergeCell ref="B46:B50"/>
    <mergeCell ref="C46:C50"/>
    <mergeCell ref="A51:A55"/>
    <mergeCell ref="B51:B55"/>
    <mergeCell ref="C51:C55"/>
    <mergeCell ref="A36:A40"/>
    <mergeCell ref="B36:B40"/>
    <mergeCell ref="C36:C40"/>
    <mergeCell ref="A41:A45"/>
    <mergeCell ref="B41:B45"/>
    <mergeCell ref="C41:C45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" workbookViewId="0">
      <pane xSplit="4" ySplit="12" topLeftCell="E16" activePane="bottomRight" state="frozen"/>
      <selection activeCell="A4" sqref="A4"/>
      <selection pane="topRight" activeCell="E4" sqref="E4"/>
      <selection pane="bottomLeft" activeCell="A16" sqref="A16"/>
      <selection pane="bottomRight" activeCell="E58" sqref="E58:E59"/>
    </sheetView>
  </sheetViews>
  <sheetFormatPr defaultRowHeight="15" x14ac:dyDescent="0.25"/>
  <cols>
    <col min="1" max="1" width="7.140625" customWidth="1"/>
    <col min="2" max="2" width="56" customWidth="1"/>
    <col min="3" max="3" width="14.7109375" customWidth="1"/>
    <col min="4" max="5" width="13.7109375" customWidth="1"/>
    <col min="6" max="6" width="14.140625" customWidth="1"/>
    <col min="7" max="7" width="14.85546875" customWidth="1"/>
    <col min="8" max="8" width="12.85546875" customWidth="1"/>
    <col min="9" max="9" width="13.7109375" customWidth="1"/>
    <col min="10" max="10" width="14.140625" customWidth="1"/>
    <col min="11" max="11" width="11.5703125" bestFit="1" customWidth="1"/>
    <col min="12" max="12" width="13.28515625" customWidth="1"/>
  </cols>
  <sheetData>
    <row r="1" spans="1:12" ht="51" customHeight="1" x14ac:dyDescent="0.25">
      <c r="A1" s="60" t="s">
        <v>12</v>
      </c>
      <c r="B1" s="60"/>
      <c r="C1" s="60"/>
      <c r="D1" s="60"/>
      <c r="E1" s="60"/>
      <c r="F1" s="60"/>
      <c r="G1" s="60"/>
      <c r="H1" s="60"/>
      <c r="I1" s="60"/>
      <c r="J1" s="60"/>
    </row>
    <row r="2" spans="1:12" ht="21" customHeight="1" x14ac:dyDescent="0.25">
      <c r="A2" t="s">
        <v>13</v>
      </c>
      <c r="B2" s="7"/>
      <c r="C2" s="7"/>
      <c r="D2" s="7"/>
      <c r="E2" s="7"/>
      <c r="F2" s="7"/>
      <c r="G2" s="7"/>
      <c r="H2" s="7"/>
      <c r="I2" s="7"/>
      <c r="J2" s="7"/>
    </row>
    <row r="3" spans="1:12" ht="94.5" customHeight="1" x14ac:dyDescent="0.25">
      <c r="A3" s="9" t="s">
        <v>7</v>
      </c>
      <c r="B3" s="8" t="s">
        <v>9</v>
      </c>
      <c r="C3" s="8" t="s">
        <v>2</v>
      </c>
      <c r="D3" s="8" t="s">
        <v>1</v>
      </c>
      <c r="E3" s="8"/>
      <c r="F3" s="8" t="s">
        <v>0</v>
      </c>
      <c r="G3" s="8" t="s">
        <v>3</v>
      </c>
      <c r="H3" s="8" t="s">
        <v>4</v>
      </c>
      <c r="I3" s="8" t="s">
        <v>5</v>
      </c>
      <c r="J3" s="8" t="s">
        <v>6</v>
      </c>
    </row>
    <row r="4" spans="1:12" ht="18" customHeight="1" x14ac:dyDescent="0.25">
      <c r="A4" s="9">
        <v>1</v>
      </c>
      <c r="B4" s="1">
        <v>2</v>
      </c>
      <c r="C4" s="1">
        <v>5</v>
      </c>
      <c r="D4" s="1">
        <v>6</v>
      </c>
      <c r="E4" s="1"/>
      <c r="F4" s="1">
        <v>7</v>
      </c>
      <c r="G4" s="6">
        <v>8</v>
      </c>
      <c r="H4" s="6">
        <v>9</v>
      </c>
      <c r="I4" s="6">
        <v>10</v>
      </c>
      <c r="J4" s="6">
        <v>11</v>
      </c>
    </row>
    <row r="5" spans="1:12" ht="31.5" x14ac:dyDescent="0.25">
      <c r="A5" s="10" t="s">
        <v>8</v>
      </c>
      <c r="B5" s="2" t="s">
        <v>11</v>
      </c>
      <c r="C5" s="3">
        <v>115211.6</v>
      </c>
      <c r="D5" s="3">
        <v>120411.6</v>
      </c>
      <c r="E5" s="3"/>
      <c r="F5" s="3">
        <v>120411.6</v>
      </c>
      <c r="G5" s="3">
        <f>F5*G6</f>
        <v>118605.42600000001</v>
      </c>
      <c r="H5" s="3">
        <f>G5*H6</f>
        <v>121807.77250199999</v>
      </c>
      <c r="I5" s="3">
        <f>H5*I6</f>
        <v>125340.19790455798</v>
      </c>
      <c r="J5" s="3">
        <f>I5*J6</f>
        <v>128097.68225845826</v>
      </c>
    </row>
    <row r="6" spans="1:12" s="12" customFormat="1" ht="15.75" x14ac:dyDescent="0.25">
      <c r="A6" s="11"/>
      <c r="B6" s="14" t="s">
        <v>10</v>
      </c>
      <c r="C6" s="15"/>
      <c r="D6" s="15"/>
      <c r="E6" s="15"/>
      <c r="F6" s="15"/>
      <c r="G6" s="16">
        <v>0.98499999999999999</v>
      </c>
      <c r="H6" s="16">
        <v>1.0269999999999999</v>
      </c>
      <c r="I6" s="16">
        <v>1.0289999999999999</v>
      </c>
      <c r="J6" s="16">
        <v>1.022</v>
      </c>
    </row>
    <row r="7" spans="1:12" x14ac:dyDescent="0.25">
      <c r="B7" s="4"/>
      <c r="C7" s="4"/>
      <c r="D7" s="4">
        <f>D5+30000</f>
        <v>150411.6</v>
      </c>
      <c r="E7" s="4"/>
      <c r="F7" s="4"/>
      <c r="G7" s="4"/>
      <c r="H7" s="4"/>
      <c r="I7" s="4"/>
      <c r="J7" s="4"/>
      <c r="K7" s="23">
        <f>D7+F5+G5+H5+I5+J5</f>
        <v>764674.27866501629</v>
      </c>
    </row>
    <row r="8" spans="1:12" x14ac:dyDescent="0.25">
      <c r="B8" s="5"/>
      <c r="C8" s="13"/>
      <c r="D8" s="13"/>
      <c r="E8" s="13"/>
      <c r="F8" s="13"/>
      <c r="G8" s="13"/>
      <c r="H8" s="13"/>
      <c r="I8" s="13"/>
      <c r="J8" s="13"/>
      <c r="K8">
        <v>582000</v>
      </c>
      <c r="L8" s="23">
        <f>K7+K8</f>
        <v>1346674.2786650164</v>
      </c>
    </row>
    <row r="9" spans="1:12" x14ac:dyDescent="0.25">
      <c r="A9" s="61" t="s">
        <v>14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2" x14ac:dyDescent="0.25">
      <c r="A10" s="61" t="s">
        <v>15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</row>
    <row r="11" spans="1:12" x14ac:dyDescent="0.25">
      <c r="A11" s="17" t="s">
        <v>44</v>
      </c>
      <c r="B11" s="18"/>
      <c r="C11" s="18"/>
      <c r="D11" s="18"/>
      <c r="E11" s="18"/>
      <c r="F11" s="18"/>
      <c r="G11" s="18"/>
      <c r="H11" s="28">
        <v>98.5</v>
      </c>
      <c r="I11" s="22">
        <v>102.7</v>
      </c>
      <c r="J11" s="22">
        <v>102.9</v>
      </c>
      <c r="K11" s="22">
        <v>102.2</v>
      </c>
      <c r="L11" s="18"/>
    </row>
    <row r="12" spans="1:12" ht="15" customHeight="1" x14ac:dyDescent="0.25">
      <c r="A12" s="62" t="s">
        <v>7</v>
      </c>
      <c r="B12" s="62" t="s">
        <v>16</v>
      </c>
      <c r="C12" s="62" t="s">
        <v>17</v>
      </c>
      <c r="D12" s="62" t="s">
        <v>18</v>
      </c>
      <c r="E12" s="78" t="s">
        <v>19</v>
      </c>
      <c r="F12" s="79"/>
      <c r="G12" s="79"/>
      <c r="H12" s="79"/>
      <c r="I12" s="79"/>
      <c r="J12" s="79"/>
      <c r="K12" s="79"/>
      <c r="L12" s="80"/>
    </row>
    <row r="13" spans="1:12" ht="14.25" customHeight="1" x14ac:dyDescent="0.25">
      <c r="A13" s="62"/>
      <c r="B13" s="62"/>
      <c r="C13" s="62"/>
      <c r="D13" s="62"/>
      <c r="E13" s="81"/>
      <c r="F13" s="82"/>
      <c r="G13" s="82"/>
      <c r="H13" s="82"/>
      <c r="I13" s="82"/>
      <c r="J13" s="82"/>
      <c r="K13" s="82"/>
      <c r="L13" s="83"/>
    </row>
    <row r="14" spans="1:12" ht="46.5" customHeight="1" x14ac:dyDescent="0.25">
      <c r="A14" s="62"/>
      <c r="B14" s="62"/>
      <c r="C14" s="62"/>
      <c r="D14" s="62"/>
      <c r="E14" s="27" t="s">
        <v>45</v>
      </c>
      <c r="F14" s="27" t="s">
        <v>46</v>
      </c>
      <c r="G14" s="25" t="s">
        <v>0</v>
      </c>
      <c r="H14" s="20" t="s">
        <v>3</v>
      </c>
      <c r="I14" s="25" t="s">
        <v>4</v>
      </c>
      <c r="J14" s="25" t="s">
        <v>5</v>
      </c>
      <c r="K14" s="25" t="s">
        <v>6</v>
      </c>
      <c r="L14" s="25" t="s">
        <v>20</v>
      </c>
    </row>
    <row r="15" spans="1:12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26"/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</row>
    <row r="16" spans="1:12" x14ac:dyDescent="0.25">
      <c r="A16" s="65" t="s">
        <v>21</v>
      </c>
      <c r="B16" s="66" t="s">
        <v>22</v>
      </c>
      <c r="C16" s="62" t="s">
        <v>23</v>
      </c>
      <c r="D16" s="25" t="s">
        <v>20</v>
      </c>
      <c r="E16" s="21">
        <f t="shared" ref="E16" si="0">SUM(E17:E20)</f>
        <v>9756.6</v>
      </c>
      <c r="F16" s="21">
        <f t="shared" ref="F16:K16" si="1">SUM(F17:F20)</f>
        <v>15530.74</v>
      </c>
      <c r="G16" s="21">
        <f t="shared" si="1"/>
        <v>15620.94</v>
      </c>
      <c r="H16" s="21">
        <f t="shared" si="1"/>
        <v>14210.592199999999</v>
      </c>
      <c r="I16" s="21">
        <f t="shared" si="1"/>
        <v>14631.619258199999</v>
      </c>
      <c r="J16" s="21">
        <f t="shared" si="1"/>
        <v>15090.0146096014</v>
      </c>
      <c r="K16" s="21">
        <f t="shared" si="1"/>
        <v>15475.310576725959</v>
      </c>
      <c r="L16" s="21">
        <f>L17+L18+L19+L20</f>
        <v>90559.216644527347</v>
      </c>
    </row>
    <row r="17" spans="1:12" x14ac:dyDescent="0.25">
      <c r="A17" s="65"/>
      <c r="B17" s="66"/>
      <c r="C17" s="62"/>
      <c r="D17" s="25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SUM(F17:K17)</f>
        <v>0</v>
      </c>
    </row>
    <row r="18" spans="1:12" x14ac:dyDescent="0.25">
      <c r="A18" s="65"/>
      <c r="B18" s="66"/>
      <c r="C18" s="62"/>
      <c r="D18" s="25" t="s">
        <v>25</v>
      </c>
      <c r="E18" s="21">
        <v>1325.7</v>
      </c>
      <c r="F18" s="21">
        <v>1325.7</v>
      </c>
      <c r="G18" s="21">
        <v>1325.7</v>
      </c>
      <c r="H18" s="21">
        <v>0</v>
      </c>
      <c r="I18" s="21">
        <v>0</v>
      </c>
      <c r="J18" s="21">
        <v>0</v>
      </c>
      <c r="K18" s="21">
        <v>0</v>
      </c>
      <c r="L18" s="21">
        <f>SUM(F18:K18)</f>
        <v>2651.4</v>
      </c>
    </row>
    <row r="19" spans="1:12" x14ac:dyDescent="0.25">
      <c r="A19" s="65"/>
      <c r="B19" s="66"/>
      <c r="C19" s="62"/>
      <c r="D19" s="25" t="s">
        <v>26</v>
      </c>
      <c r="E19" s="21">
        <v>6283.5</v>
      </c>
      <c r="F19" s="21">
        <v>12057.64</v>
      </c>
      <c r="G19" s="21">
        <v>12057.64</v>
      </c>
      <c r="H19" s="21">
        <f>G19*98.5%</f>
        <v>11876.775399999999</v>
      </c>
      <c r="I19" s="21">
        <f>H19*102.7%</f>
        <v>12197.4483358</v>
      </c>
      <c r="J19" s="21">
        <f>I19*102.9%</f>
        <v>12551.174337538201</v>
      </c>
      <c r="K19" s="21">
        <f>J19*102.2%</f>
        <v>12827.300172964042</v>
      </c>
      <c r="L19" s="21">
        <f>SUM(F19:K19)</f>
        <v>73567.978246302242</v>
      </c>
    </row>
    <row r="20" spans="1:12" x14ac:dyDescent="0.25">
      <c r="A20" s="65"/>
      <c r="B20" s="66"/>
      <c r="C20" s="62"/>
      <c r="D20" s="25" t="s">
        <v>27</v>
      </c>
      <c r="E20" s="21">
        <v>2147.4</v>
      </c>
      <c r="F20" s="21">
        <v>2147.4</v>
      </c>
      <c r="G20" s="21">
        <v>2237.6</v>
      </c>
      <c r="H20" s="21">
        <f>G20*104.3%</f>
        <v>2333.8167999999996</v>
      </c>
      <c r="I20" s="21">
        <f>H20*104.3%</f>
        <v>2434.1709223999992</v>
      </c>
      <c r="J20" s="21">
        <f>I20*104.3%</f>
        <v>2538.8402720631989</v>
      </c>
      <c r="K20" s="21">
        <f>J20*104.3%</f>
        <v>2648.0104037619162</v>
      </c>
      <c r="L20" s="21">
        <f>SUM(F20:K20)</f>
        <v>14339.838398225114</v>
      </c>
    </row>
    <row r="21" spans="1:12" x14ac:dyDescent="0.25">
      <c r="A21" s="67" t="s">
        <v>28</v>
      </c>
      <c r="B21" s="69" t="s">
        <v>29</v>
      </c>
      <c r="C21" s="71" t="s">
        <v>23</v>
      </c>
      <c r="D21" s="25" t="s">
        <v>20</v>
      </c>
      <c r="E21" s="21">
        <f t="shared" ref="E21" si="2">SUM(E22:E25)</f>
        <v>95876.34</v>
      </c>
      <c r="F21" s="21">
        <f t="shared" ref="F21:K21" si="3">SUM(F22:F25)</f>
        <v>116704.45999999999</v>
      </c>
      <c r="G21" s="21">
        <f t="shared" si="3"/>
        <v>118704.45999999999</v>
      </c>
      <c r="H21" s="21">
        <f t="shared" si="3"/>
        <v>120103.29310000001</v>
      </c>
      <c r="I21" s="21">
        <f t="shared" si="3"/>
        <v>123346.08201370001</v>
      </c>
      <c r="J21" s="21">
        <f t="shared" si="3"/>
        <v>126763.43242149735</v>
      </c>
      <c r="K21" s="21">
        <f t="shared" si="3"/>
        <v>129962.22166428581</v>
      </c>
      <c r="L21" s="21">
        <f>L22+L23+L24+L25</f>
        <v>735583.94919948326</v>
      </c>
    </row>
    <row r="22" spans="1:12" x14ac:dyDescent="0.25">
      <c r="A22" s="68"/>
      <c r="B22" s="70"/>
      <c r="C22" s="72"/>
      <c r="D22" s="25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>SUM(F22:K22)</f>
        <v>0</v>
      </c>
    </row>
    <row r="23" spans="1:12" x14ac:dyDescent="0.25">
      <c r="A23" s="68"/>
      <c r="B23" s="70"/>
      <c r="C23" s="72"/>
      <c r="D23" s="25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>SUM(F23:K23)</f>
        <v>0</v>
      </c>
    </row>
    <row r="24" spans="1:12" x14ac:dyDescent="0.25">
      <c r="A24" s="68"/>
      <c r="B24" s="70"/>
      <c r="C24" s="72"/>
      <c r="D24" s="25" t="s">
        <v>26</v>
      </c>
      <c r="E24" s="21">
        <v>22176.34</v>
      </c>
      <c r="F24" s="21">
        <v>43004.46</v>
      </c>
      <c r="G24" s="21">
        <v>43004.46</v>
      </c>
      <c r="H24" s="21">
        <f>G24*98.5%</f>
        <v>42359.393100000001</v>
      </c>
      <c r="I24" s="21">
        <f>H24*102.7%</f>
        <v>43503.096713700004</v>
      </c>
      <c r="J24" s="21">
        <f>I24*102.9%</f>
        <v>44764.686518397313</v>
      </c>
      <c r="K24" s="21">
        <f>J24*102.2%</f>
        <v>45749.509621802055</v>
      </c>
      <c r="L24" s="21">
        <f>SUM(F24:K24)</f>
        <v>262385.60595389939</v>
      </c>
    </row>
    <row r="25" spans="1:12" x14ac:dyDescent="0.25">
      <c r="A25" s="68"/>
      <c r="B25" s="70"/>
      <c r="C25" s="73"/>
      <c r="D25" s="25" t="s">
        <v>27</v>
      </c>
      <c r="E25" s="21">
        <v>73700</v>
      </c>
      <c r="F25" s="21">
        <v>73700</v>
      </c>
      <c r="G25" s="21">
        <v>75700</v>
      </c>
      <c r="H25" s="21">
        <f>G25*102.7%</f>
        <v>77743.900000000009</v>
      </c>
      <c r="I25" s="21">
        <f>H25*102.7%</f>
        <v>79842.985300000015</v>
      </c>
      <c r="J25" s="21">
        <f>I25*102.7%</f>
        <v>81998.745903100033</v>
      </c>
      <c r="K25" s="21">
        <f>J25*102.7%</f>
        <v>84212.712042483749</v>
      </c>
      <c r="L25" s="21">
        <f>SUM(F25:K25)</f>
        <v>473198.34324558382</v>
      </c>
    </row>
    <row r="26" spans="1:12" x14ac:dyDescent="0.25">
      <c r="A26" s="63" t="s">
        <v>30</v>
      </c>
      <c r="B26" s="64" t="s">
        <v>31</v>
      </c>
      <c r="C26" s="62" t="s">
        <v>23</v>
      </c>
      <c r="D26" s="20" t="s">
        <v>20</v>
      </c>
      <c r="E26" s="21">
        <f t="shared" ref="E26" si="4">E27+E28+E29+E30</f>
        <v>3290.27</v>
      </c>
      <c r="F26" s="21">
        <f t="shared" ref="F26:K26" si="5">F27+F28+F29+F30</f>
        <v>7396.0599999999995</v>
      </c>
      <c r="G26" s="21">
        <f t="shared" si="5"/>
        <v>3485.1</v>
      </c>
      <c r="H26" s="21">
        <f t="shared" si="5"/>
        <v>3112.0694999999996</v>
      </c>
      <c r="I26" s="21">
        <f t="shared" si="5"/>
        <v>3199.7453765</v>
      </c>
      <c r="J26" s="21">
        <f t="shared" si="5"/>
        <v>3295.9429924185006</v>
      </c>
      <c r="K26" s="21">
        <f t="shared" si="5"/>
        <v>3372.1337382517077</v>
      </c>
      <c r="L26" s="21">
        <f>L27+L28+L29+L30</f>
        <v>23861.051607170211</v>
      </c>
    </row>
    <row r="27" spans="1:12" x14ac:dyDescent="0.25">
      <c r="A27" s="63"/>
      <c r="B27" s="64"/>
      <c r="C27" s="62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>SUM(F27:K27)</f>
        <v>0</v>
      </c>
    </row>
    <row r="28" spans="1:12" x14ac:dyDescent="0.25">
      <c r="A28" s="63"/>
      <c r="B28" s="64"/>
      <c r="C28" s="62"/>
      <c r="D28" s="20" t="s">
        <v>25</v>
      </c>
      <c r="E28" s="21">
        <v>331.4</v>
      </c>
      <c r="F28" s="21">
        <v>331.4</v>
      </c>
      <c r="G28" s="21">
        <v>331.4</v>
      </c>
      <c r="H28" s="21">
        <v>0</v>
      </c>
      <c r="I28" s="21">
        <v>0</v>
      </c>
      <c r="J28" s="21">
        <v>0</v>
      </c>
      <c r="K28" s="21">
        <f>J28</f>
        <v>0</v>
      </c>
      <c r="L28" s="21">
        <f>SUM(F28:K28)</f>
        <v>662.8</v>
      </c>
    </row>
    <row r="29" spans="1:12" x14ac:dyDescent="0.25">
      <c r="A29" s="63"/>
      <c r="B29" s="64"/>
      <c r="C29" s="62"/>
      <c r="D29" s="20" t="s">
        <v>26</v>
      </c>
      <c r="E29" s="21">
        <v>2918.87</v>
      </c>
      <c r="F29" s="21">
        <v>7024.66</v>
      </c>
      <c r="G29" s="21">
        <v>3108.7</v>
      </c>
      <c r="H29" s="21">
        <f>G29*98.5%</f>
        <v>3062.0694999999996</v>
      </c>
      <c r="I29" s="21">
        <f>H29*102.7%</f>
        <v>3144.7453765</v>
      </c>
      <c r="J29" s="21">
        <f>I29*102.9%</f>
        <v>3235.9429924185006</v>
      </c>
      <c r="K29" s="21">
        <f>J29*102.2%</f>
        <v>3307.1337382517077</v>
      </c>
      <c r="L29" s="21">
        <f>SUM(F29:K29)</f>
        <v>22883.251607170212</v>
      </c>
    </row>
    <row r="30" spans="1:12" x14ac:dyDescent="0.25">
      <c r="A30" s="63"/>
      <c r="B30" s="64"/>
      <c r="C30" s="62"/>
      <c r="D30" s="20" t="s">
        <v>27</v>
      </c>
      <c r="E30" s="21">
        <v>40</v>
      </c>
      <c r="F30" s="21">
        <v>40</v>
      </c>
      <c r="G30" s="21">
        <v>45</v>
      </c>
      <c r="H30" s="21">
        <v>50</v>
      </c>
      <c r="I30" s="21">
        <v>55</v>
      </c>
      <c r="J30" s="21">
        <v>60</v>
      </c>
      <c r="K30" s="21">
        <v>65</v>
      </c>
      <c r="L30" s="21">
        <f>SUM(F30:K30)</f>
        <v>315</v>
      </c>
    </row>
    <row r="31" spans="1:12" x14ac:dyDescent="0.25">
      <c r="A31" s="74" t="s">
        <v>38</v>
      </c>
      <c r="B31" s="64" t="s">
        <v>32</v>
      </c>
      <c r="C31" s="62" t="s">
        <v>23</v>
      </c>
      <c r="D31" s="20" t="s">
        <v>20</v>
      </c>
      <c r="E31" s="21">
        <f t="shared" ref="E31" si="6">E32+E33+E34+E35</f>
        <v>4060</v>
      </c>
      <c r="F31" s="21">
        <f t="shared" ref="F31:K31" si="7">F32+F33+F34+F35</f>
        <v>5800</v>
      </c>
      <c r="G31" s="21">
        <f t="shared" si="7"/>
        <v>5800</v>
      </c>
      <c r="H31" s="21">
        <f t="shared" si="7"/>
        <v>5713</v>
      </c>
      <c r="I31" s="21">
        <f t="shared" si="7"/>
        <v>5867.2510000000011</v>
      </c>
      <c r="J31" s="21">
        <f t="shared" si="7"/>
        <v>6037.4012790000015</v>
      </c>
      <c r="K31" s="21">
        <f t="shared" si="7"/>
        <v>6170.2241071380013</v>
      </c>
      <c r="L31" s="21">
        <f>L32+L33+L34+L35</f>
        <v>35387.876386137999</v>
      </c>
    </row>
    <row r="32" spans="1:12" x14ac:dyDescent="0.25">
      <c r="A32" s="74"/>
      <c r="B32" s="64"/>
      <c r="C32" s="62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>SUM(F32:K32)</f>
        <v>0</v>
      </c>
    </row>
    <row r="33" spans="1:12" x14ac:dyDescent="0.25">
      <c r="A33" s="74"/>
      <c r="B33" s="64"/>
      <c r="C33" s="62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>SUM(F33:K33)</f>
        <v>0</v>
      </c>
    </row>
    <row r="34" spans="1:12" x14ac:dyDescent="0.25">
      <c r="A34" s="74"/>
      <c r="B34" s="64"/>
      <c r="C34" s="62"/>
      <c r="D34" s="20" t="s">
        <v>26</v>
      </c>
      <c r="E34" s="21">
        <v>4060</v>
      </c>
      <c r="F34" s="21">
        <v>5800</v>
      </c>
      <c r="G34" s="21">
        <v>5800</v>
      </c>
      <c r="H34" s="21">
        <f>G34*98.5%</f>
        <v>5713</v>
      </c>
      <c r="I34" s="21">
        <f>H34*102.7%</f>
        <v>5867.2510000000011</v>
      </c>
      <c r="J34" s="21">
        <f>I34*102.9%</f>
        <v>6037.4012790000015</v>
      </c>
      <c r="K34" s="21">
        <f>J34*102.2%</f>
        <v>6170.2241071380013</v>
      </c>
      <c r="L34" s="21">
        <f>SUM(F34:K34)</f>
        <v>35387.876386137999</v>
      </c>
    </row>
    <row r="35" spans="1:12" x14ac:dyDescent="0.25">
      <c r="A35" s="74"/>
      <c r="B35" s="64"/>
      <c r="C35" s="62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>SUM(F35:K35)</f>
        <v>0</v>
      </c>
    </row>
    <row r="36" spans="1:12" x14ac:dyDescent="0.25">
      <c r="A36" s="74" t="s">
        <v>39</v>
      </c>
      <c r="B36" s="64" t="s">
        <v>33</v>
      </c>
      <c r="C36" s="62" t="s">
        <v>23</v>
      </c>
      <c r="D36" s="20" t="s">
        <v>20</v>
      </c>
      <c r="E36" s="21">
        <f t="shared" ref="E36" si="8">E39+E40</f>
        <v>1400</v>
      </c>
      <c r="F36" s="21">
        <f t="shared" ref="F36:K36" si="9">F39+F40</f>
        <v>2000</v>
      </c>
      <c r="G36" s="21">
        <f t="shared" si="9"/>
        <v>2000</v>
      </c>
      <c r="H36" s="21">
        <f t="shared" si="9"/>
        <v>1970</v>
      </c>
      <c r="I36" s="21">
        <f t="shared" si="9"/>
        <v>2023.1900000000003</v>
      </c>
      <c r="J36" s="21">
        <f t="shared" si="9"/>
        <v>2081.8625100000004</v>
      </c>
      <c r="K36" s="21">
        <f t="shared" si="9"/>
        <v>2127.6634852200004</v>
      </c>
      <c r="L36" s="21">
        <f>SUM(F36:K36)</f>
        <v>12202.715995220002</v>
      </c>
    </row>
    <row r="37" spans="1:12" x14ac:dyDescent="0.25">
      <c r="A37" s="74"/>
      <c r="B37" s="64"/>
      <c r="C37" s="62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2" x14ac:dyDescent="0.25">
      <c r="A38" s="74"/>
      <c r="B38" s="64"/>
      <c r="C38" s="62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</row>
    <row r="39" spans="1:12" x14ac:dyDescent="0.25">
      <c r="A39" s="74"/>
      <c r="B39" s="64"/>
      <c r="C39" s="62"/>
      <c r="D39" s="20" t="s">
        <v>26</v>
      </c>
      <c r="E39" s="21">
        <v>1400</v>
      </c>
      <c r="F39" s="21">
        <v>2000</v>
      </c>
      <c r="G39" s="21">
        <v>2000</v>
      </c>
      <c r="H39" s="21">
        <f>G39*98.5%</f>
        <v>1970</v>
      </c>
      <c r="I39" s="21">
        <f>H39*102.7%</f>
        <v>2023.1900000000003</v>
      </c>
      <c r="J39" s="21">
        <f>I39*102.9%</f>
        <v>2081.8625100000004</v>
      </c>
      <c r="K39" s="21">
        <f>J39*102.2%</f>
        <v>2127.6634852200004</v>
      </c>
      <c r="L39" s="21">
        <f>SUM(F39:K39)</f>
        <v>12202.715995220002</v>
      </c>
    </row>
    <row r="40" spans="1:12" x14ac:dyDescent="0.25">
      <c r="A40" s="74"/>
      <c r="B40" s="64"/>
      <c r="C40" s="62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>F40+G40+H40+I40+J40+K40</f>
        <v>0</v>
      </c>
    </row>
    <row r="41" spans="1:12" x14ac:dyDescent="0.25">
      <c r="A41" s="74" t="s">
        <v>40</v>
      </c>
      <c r="B41" s="64" t="s">
        <v>34</v>
      </c>
      <c r="C41" s="62" t="s">
        <v>23</v>
      </c>
      <c r="D41" s="20" t="s">
        <v>20</v>
      </c>
      <c r="E41" s="21">
        <f t="shared" ref="E41" si="10">E42+E43+E44+E45</f>
        <v>0</v>
      </c>
      <c r="F41" s="21">
        <f t="shared" ref="F41:K41" si="11">F42+F43+F44+F45</f>
        <v>31200</v>
      </c>
      <c r="G41" s="21">
        <f t="shared" si="11"/>
        <v>31000</v>
      </c>
      <c r="H41" s="21">
        <f t="shared" si="11"/>
        <v>3000</v>
      </c>
      <c r="I41" s="21">
        <f t="shared" si="11"/>
        <v>3081.0000000000005</v>
      </c>
      <c r="J41" s="21">
        <f t="shared" si="11"/>
        <v>3170.3490000000011</v>
      </c>
      <c r="K41" s="21">
        <f t="shared" si="11"/>
        <v>3240.0966780000012</v>
      </c>
      <c r="L41" s="21">
        <f>L42+L43+L44+L45</f>
        <v>74691.445678000004</v>
      </c>
    </row>
    <row r="42" spans="1:12" x14ac:dyDescent="0.25">
      <c r="A42" s="74"/>
      <c r="B42" s="64"/>
      <c r="C42" s="62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>SUM(F42:K42)</f>
        <v>0</v>
      </c>
    </row>
    <row r="43" spans="1:12" x14ac:dyDescent="0.25">
      <c r="A43" s="74"/>
      <c r="B43" s="64"/>
      <c r="C43" s="62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>SUM(F43:K43)</f>
        <v>0</v>
      </c>
    </row>
    <row r="44" spans="1:12" x14ac:dyDescent="0.25">
      <c r="A44" s="74"/>
      <c r="B44" s="64"/>
      <c r="C44" s="62"/>
      <c r="D44" s="20" t="s">
        <v>26</v>
      </c>
      <c r="E44" s="21">
        <v>0</v>
      </c>
      <c r="F44" s="21">
        <v>31200</v>
      </c>
      <c r="G44" s="21">
        <v>31000</v>
      </c>
      <c r="H44" s="21">
        <v>3000</v>
      </c>
      <c r="I44" s="21">
        <f>H44*102.7%</f>
        <v>3081.0000000000005</v>
      </c>
      <c r="J44" s="21">
        <f>I44*102.9%</f>
        <v>3170.3490000000011</v>
      </c>
      <c r="K44" s="21">
        <f>J44*102.2%</f>
        <v>3240.0966780000012</v>
      </c>
      <c r="L44" s="21">
        <f>SUM(F44:K44)</f>
        <v>74691.445678000004</v>
      </c>
    </row>
    <row r="45" spans="1:12" x14ac:dyDescent="0.25">
      <c r="A45" s="74"/>
      <c r="B45" s="64"/>
      <c r="C45" s="62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>SUM(F45:K45)</f>
        <v>0</v>
      </c>
    </row>
    <row r="46" spans="1:12" x14ac:dyDescent="0.25">
      <c r="A46" s="74" t="s">
        <v>41</v>
      </c>
      <c r="B46" s="64" t="s">
        <v>35</v>
      </c>
      <c r="C46" s="62" t="s">
        <v>23</v>
      </c>
      <c r="D46" s="20" t="s">
        <v>20</v>
      </c>
      <c r="E46" s="21">
        <f t="shared" ref="E46" si="12">E47+E48+E49+E50</f>
        <v>1800</v>
      </c>
      <c r="F46" s="21">
        <f t="shared" ref="F46:K46" si="13">F47+F48+F49+F50</f>
        <v>1800</v>
      </c>
      <c r="G46" s="21">
        <f t="shared" si="13"/>
        <v>1800</v>
      </c>
      <c r="H46" s="21">
        <f t="shared" si="13"/>
        <v>1800</v>
      </c>
      <c r="I46" s="21">
        <f t="shared" si="13"/>
        <v>1800</v>
      </c>
      <c r="J46" s="21">
        <f t="shared" si="13"/>
        <v>1800</v>
      </c>
      <c r="K46" s="21">
        <f t="shared" si="13"/>
        <v>1800</v>
      </c>
      <c r="L46" s="21">
        <f>L47+L48+L49+L50</f>
        <v>10800</v>
      </c>
    </row>
    <row r="47" spans="1:12" x14ac:dyDescent="0.25">
      <c r="A47" s="74"/>
      <c r="B47" s="64"/>
      <c r="C47" s="62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SUM(F47:K47)</f>
        <v>0</v>
      </c>
    </row>
    <row r="48" spans="1:12" x14ac:dyDescent="0.25">
      <c r="A48" s="74"/>
      <c r="B48" s="64"/>
      <c r="C48" s="62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>SUM(F48:K48)</f>
        <v>0</v>
      </c>
    </row>
    <row r="49" spans="1:12" x14ac:dyDescent="0.25">
      <c r="A49" s="74"/>
      <c r="B49" s="64"/>
      <c r="C49" s="62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v>1800</v>
      </c>
      <c r="L49" s="21">
        <f>SUM(F49:K49)</f>
        <v>10800</v>
      </c>
    </row>
    <row r="50" spans="1:12" x14ac:dyDescent="0.25">
      <c r="A50" s="74"/>
      <c r="B50" s="64"/>
      <c r="C50" s="62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>SUM(F50:K50)</f>
        <v>0</v>
      </c>
    </row>
    <row r="51" spans="1:12" x14ac:dyDescent="0.25">
      <c r="A51" s="74" t="s">
        <v>42</v>
      </c>
      <c r="B51" s="75" t="s">
        <v>47</v>
      </c>
      <c r="C51" s="62" t="s">
        <v>23</v>
      </c>
      <c r="D51" s="20" t="s">
        <v>20</v>
      </c>
      <c r="E51" s="21">
        <f t="shared" ref="E51" si="14">E52+E53+E54+E55</f>
        <v>62095.150000000009</v>
      </c>
      <c r="F51" s="21">
        <f t="shared" ref="F51:K51" si="15">F52+F53+F54+F55</f>
        <v>89753.89</v>
      </c>
      <c r="G51" s="21">
        <f t="shared" si="15"/>
        <v>72328.310000000012</v>
      </c>
      <c r="H51" s="21">
        <f t="shared" si="15"/>
        <v>69439.806250000009</v>
      </c>
      <c r="I51" s="21">
        <f t="shared" si="15"/>
        <v>71500.318317550016</v>
      </c>
      <c r="J51" s="21">
        <f t="shared" si="15"/>
        <v>73734.558509969982</v>
      </c>
      <c r="K51" s="21">
        <f t="shared" si="15"/>
        <v>75640.617893976305</v>
      </c>
      <c r="L51" s="21">
        <f>L52+L53+L54+L55</f>
        <v>452397.50097149634</v>
      </c>
    </row>
    <row r="52" spans="1:12" x14ac:dyDescent="0.25">
      <c r="A52" s="74"/>
      <c r="B52" s="76"/>
      <c r="C52" s="62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>SUM(F52:K52)</f>
        <v>0</v>
      </c>
    </row>
    <row r="53" spans="1:12" x14ac:dyDescent="0.25">
      <c r="A53" s="74"/>
      <c r="B53" s="76"/>
      <c r="C53" s="62"/>
      <c r="D53" s="20" t="s">
        <v>25</v>
      </c>
      <c r="E53" s="21">
        <v>2647.3</v>
      </c>
      <c r="F53" s="21">
        <v>2647.3</v>
      </c>
      <c r="G53" s="21">
        <v>2647.3</v>
      </c>
      <c r="H53" s="21">
        <v>0</v>
      </c>
      <c r="I53" s="21">
        <v>0</v>
      </c>
      <c r="J53" s="21">
        <v>0</v>
      </c>
      <c r="K53" s="21">
        <f>J53</f>
        <v>0</v>
      </c>
      <c r="L53" s="21">
        <f>SUM(F53:K53)</f>
        <v>5294.6</v>
      </c>
    </row>
    <row r="54" spans="1:12" x14ac:dyDescent="0.25">
      <c r="A54" s="74"/>
      <c r="B54" s="76"/>
      <c r="C54" s="62"/>
      <c r="D54" s="20" t="s">
        <v>26</v>
      </c>
      <c r="E54" s="21">
        <v>45117.65</v>
      </c>
      <c r="F54" s="21">
        <v>72776.39</v>
      </c>
      <c r="G54" s="21">
        <v>54791.91</v>
      </c>
      <c r="H54" s="21">
        <f>G54*98.5%</f>
        <v>53970.031350000005</v>
      </c>
      <c r="I54" s="21">
        <f>H54*102.7%</f>
        <v>55427.222196450013</v>
      </c>
      <c r="J54" s="21">
        <f>I54*102.9%</f>
        <v>57034.611640147072</v>
      </c>
      <c r="K54" s="21">
        <f>J54*102.2%</f>
        <v>58289.373096230309</v>
      </c>
      <c r="L54" s="21">
        <f>SUM(F54:K54)</f>
        <v>352289.53828282742</v>
      </c>
    </row>
    <row r="55" spans="1:12" x14ac:dyDescent="0.25">
      <c r="A55" s="74"/>
      <c r="B55" s="77"/>
      <c r="C55" s="62"/>
      <c r="D55" s="20" t="s">
        <v>27</v>
      </c>
      <c r="E55" s="21">
        <v>14330.2</v>
      </c>
      <c r="F55" s="21">
        <v>14330.2</v>
      </c>
      <c r="G55" s="21">
        <v>14889.1</v>
      </c>
      <c r="H55" s="21">
        <f>G55*103.9%</f>
        <v>15469.774900000002</v>
      </c>
      <c r="I55" s="21">
        <f>H55*103.9%</f>
        <v>16073.096121100005</v>
      </c>
      <c r="J55" s="21">
        <f>I55*103.9%</f>
        <v>16699.946869822907</v>
      </c>
      <c r="K55" s="21">
        <f>J55*103.9%</f>
        <v>17351.244797746003</v>
      </c>
      <c r="L55" s="21">
        <f>SUM(F55:K55)</f>
        <v>94813.362688668916</v>
      </c>
    </row>
    <row r="56" spans="1:12" x14ac:dyDescent="0.25">
      <c r="A56" s="62"/>
      <c r="B56" s="62"/>
      <c r="C56" s="62" t="s">
        <v>37</v>
      </c>
      <c r="D56" s="25" t="s">
        <v>20</v>
      </c>
      <c r="E56" s="21">
        <f t="shared" ref="E56" si="16">E16+E21+E26+E31+E36+E41+E46+E51</f>
        <v>178278.36000000002</v>
      </c>
      <c r="F56" s="21">
        <f t="shared" ref="F56:K60" si="17">F16+F21+F26+F31+F36+F41+F46+F51</f>
        <v>270185.14999999997</v>
      </c>
      <c r="G56" s="21">
        <f t="shared" si="17"/>
        <v>250738.81</v>
      </c>
      <c r="H56" s="21">
        <f t="shared" si="17"/>
        <v>219348.76105000003</v>
      </c>
      <c r="I56" s="21">
        <f t="shared" si="17"/>
        <v>225449.20596595004</v>
      </c>
      <c r="J56" s="21">
        <f t="shared" si="17"/>
        <v>231973.56132248725</v>
      </c>
      <c r="K56" s="21">
        <f t="shared" si="17"/>
        <v>237788.26814359776</v>
      </c>
      <c r="L56" s="21">
        <f t="shared" ref="L56:L60" si="18">SUM(F56:K56)</f>
        <v>1435483.7564820352</v>
      </c>
    </row>
    <row r="57" spans="1:12" x14ac:dyDescent="0.25">
      <c r="A57" s="62"/>
      <c r="B57" s="62"/>
      <c r="C57" s="62"/>
      <c r="D57" s="25" t="s">
        <v>24</v>
      </c>
      <c r="E57" s="21">
        <f t="shared" ref="E57" si="19">E17+E22+E27+E32+E37+E42+E47+E52</f>
        <v>0</v>
      </c>
      <c r="F57" s="21">
        <f t="shared" si="17"/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21">
        <f t="shared" si="17"/>
        <v>0</v>
      </c>
      <c r="K57" s="21">
        <f t="shared" si="17"/>
        <v>0</v>
      </c>
      <c r="L57" s="21">
        <f t="shared" si="18"/>
        <v>0</v>
      </c>
    </row>
    <row r="58" spans="1:12" x14ac:dyDescent="0.25">
      <c r="A58" s="62"/>
      <c r="B58" s="62"/>
      <c r="C58" s="62"/>
      <c r="D58" s="25" t="s">
        <v>25</v>
      </c>
      <c r="E58" s="21">
        <f t="shared" ref="E58" si="20">E18+E23+E28+E33+E38+E43+E48+E53</f>
        <v>4304.3999999999996</v>
      </c>
      <c r="F58" s="21">
        <f t="shared" si="17"/>
        <v>4304.3999999999996</v>
      </c>
      <c r="G58" s="21">
        <f t="shared" si="17"/>
        <v>4304.3999999999996</v>
      </c>
      <c r="H58" s="21">
        <f t="shared" si="17"/>
        <v>0</v>
      </c>
      <c r="I58" s="21">
        <f t="shared" si="17"/>
        <v>0</v>
      </c>
      <c r="J58" s="21">
        <f t="shared" si="17"/>
        <v>0</v>
      </c>
      <c r="K58" s="21">
        <f t="shared" si="17"/>
        <v>0</v>
      </c>
      <c r="L58" s="21">
        <f t="shared" si="18"/>
        <v>8608.7999999999993</v>
      </c>
    </row>
    <row r="59" spans="1:12" x14ac:dyDescent="0.25">
      <c r="A59" s="62"/>
      <c r="B59" s="62"/>
      <c r="C59" s="62"/>
      <c r="D59" s="25" t="s">
        <v>26</v>
      </c>
      <c r="E59" s="21">
        <f t="shared" ref="E59" si="21">E19+E24+E29+E34+E39+E44+E49+E54</f>
        <v>83756.36</v>
      </c>
      <c r="F59" s="21">
        <f t="shared" si="17"/>
        <v>175663.15</v>
      </c>
      <c r="G59" s="21">
        <f t="shared" si="17"/>
        <v>153562.71</v>
      </c>
      <c r="H59" s="21">
        <f t="shared" si="17"/>
        <v>123751.26935</v>
      </c>
      <c r="I59" s="21">
        <f t="shared" si="17"/>
        <v>127043.95362245003</v>
      </c>
      <c r="J59" s="21">
        <f t="shared" si="17"/>
        <v>130676.02827750109</v>
      </c>
      <c r="K59" s="21">
        <f t="shared" si="17"/>
        <v>133511.30089960614</v>
      </c>
      <c r="L59" s="21">
        <f t="shared" si="18"/>
        <v>844208.41214955738</v>
      </c>
    </row>
    <row r="60" spans="1:12" x14ac:dyDescent="0.25">
      <c r="A60" s="62"/>
      <c r="B60" s="62"/>
      <c r="C60" s="62"/>
      <c r="D60" s="25" t="s">
        <v>27</v>
      </c>
      <c r="E60" s="21">
        <f t="shared" ref="E60" si="22">E20+E25+E30+E35+E40+E45+E50+E55</f>
        <v>90217.599999999991</v>
      </c>
      <c r="F60" s="21">
        <f t="shared" si="17"/>
        <v>90217.599999999991</v>
      </c>
      <c r="G60" s="21">
        <f t="shared" si="17"/>
        <v>92871.700000000012</v>
      </c>
      <c r="H60" s="21">
        <f t="shared" si="17"/>
        <v>95597.491700000013</v>
      </c>
      <c r="I60" s="21">
        <f t="shared" si="17"/>
        <v>98405.252343500018</v>
      </c>
      <c r="J60" s="21">
        <f t="shared" si="17"/>
        <v>101297.53304498614</v>
      </c>
      <c r="K60" s="21">
        <f t="shared" si="17"/>
        <v>104276.96724399168</v>
      </c>
      <c r="L60" s="21">
        <f t="shared" si="18"/>
        <v>582666.54433247785</v>
      </c>
    </row>
    <row r="62" spans="1:12" x14ac:dyDescent="0.25">
      <c r="F62" s="23">
        <f>F59-D5</f>
        <v>55251.549999999988</v>
      </c>
    </row>
    <row r="63" spans="1:12" x14ac:dyDescent="0.25">
      <c r="H63" s="23">
        <f>G5-H59</f>
        <v>-5145.8433499999956</v>
      </c>
      <c r="I63" s="23">
        <f>H5-I59</f>
        <v>-5236.1811204500409</v>
      </c>
      <c r="J63" s="23">
        <f>I5-J59</f>
        <v>-5335.8303729431063</v>
      </c>
      <c r="K63" s="23">
        <f>J5-K59</f>
        <v>-5413.6186411478848</v>
      </c>
    </row>
  </sheetData>
  <mergeCells count="34">
    <mergeCell ref="A1:J1"/>
    <mergeCell ref="A9:L9"/>
    <mergeCell ref="A10:L10"/>
    <mergeCell ref="A12:A14"/>
    <mergeCell ref="B12:B14"/>
    <mergeCell ref="C12:C14"/>
    <mergeCell ref="D12:D14"/>
    <mergeCell ref="E12:L13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56:B60"/>
    <mergeCell ref="C56:C60"/>
    <mergeCell ref="A46:A50"/>
    <mergeCell ref="B46:B50"/>
    <mergeCell ref="C46:C50"/>
    <mergeCell ref="A51:A55"/>
    <mergeCell ref="B51:B55"/>
    <mergeCell ref="C51:C55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opLeftCell="A9" zoomScale="75" zoomScaleNormal="75" workbookViewId="0">
      <selection activeCell="K21" sqref="K21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21" customHeight="1" x14ac:dyDescent="0.25">
      <c r="B1" s="7"/>
      <c r="C1" s="7"/>
      <c r="D1" s="7"/>
      <c r="E1" s="7"/>
      <c r="F1" s="7"/>
      <c r="G1" s="7"/>
      <c r="H1" s="7"/>
      <c r="I1" s="31"/>
      <c r="J1" s="32" t="s">
        <v>48</v>
      </c>
      <c r="K1" s="32"/>
    </row>
    <row r="2" spans="1:11" x14ac:dyDescent="0.25">
      <c r="B2" s="4"/>
      <c r="C2" s="4"/>
      <c r="D2" s="4"/>
      <c r="E2" s="4"/>
      <c r="F2" s="4"/>
      <c r="G2" s="4"/>
      <c r="H2" s="4"/>
      <c r="I2" s="33" t="s">
        <v>49</v>
      </c>
      <c r="J2" s="33"/>
      <c r="K2" s="32"/>
    </row>
    <row r="3" spans="1:11" x14ac:dyDescent="0.25">
      <c r="B3" s="5"/>
      <c r="C3" s="13"/>
      <c r="D3" s="13"/>
      <c r="E3" s="13"/>
      <c r="F3" s="13"/>
      <c r="G3" s="13"/>
      <c r="H3" s="13"/>
      <c r="I3" s="33" t="s">
        <v>50</v>
      </c>
      <c r="J3" s="32"/>
      <c r="K3" s="33"/>
    </row>
    <row r="4" spans="1:11" x14ac:dyDescent="0.25">
      <c r="B4" s="5"/>
      <c r="C4" s="13"/>
      <c r="D4" s="13"/>
      <c r="E4" s="13"/>
      <c r="F4" s="13"/>
      <c r="G4" s="13"/>
      <c r="H4" s="13"/>
      <c r="I4" s="33"/>
      <c r="J4" s="32"/>
      <c r="K4" s="33"/>
    </row>
    <row r="5" spans="1:11" x14ac:dyDescent="0.25">
      <c r="A5" s="61" t="s">
        <v>14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x14ac:dyDescent="0.25">
      <c r="A6" s="61" t="s">
        <v>15</v>
      </c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1" x14ac:dyDescent="0.25">
      <c r="A7" s="17"/>
      <c r="B7" s="18"/>
      <c r="C7" s="18"/>
      <c r="D7" s="18"/>
      <c r="E7" s="18"/>
      <c r="F7" s="18"/>
      <c r="G7" s="30">
        <v>98.5</v>
      </c>
      <c r="H7" s="22">
        <v>102.7</v>
      </c>
      <c r="I7" s="22">
        <v>102.9</v>
      </c>
      <c r="J7" s="22">
        <v>102.2</v>
      </c>
      <c r="K7" s="18"/>
    </row>
    <row r="8" spans="1:11" ht="15" customHeight="1" x14ac:dyDescent="0.25">
      <c r="A8" s="62" t="s">
        <v>7</v>
      </c>
      <c r="B8" s="62" t="s">
        <v>16</v>
      </c>
      <c r="C8" s="62" t="s">
        <v>17</v>
      </c>
      <c r="D8" s="62" t="s">
        <v>18</v>
      </c>
      <c r="E8" s="79"/>
      <c r="F8" s="79"/>
      <c r="G8" s="79"/>
      <c r="H8" s="79"/>
      <c r="I8" s="79"/>
      <c r="J8" s="79"/>
      <c r="K8" s="80"/>
    </row>
    <row r="9" spans="1:11" ht="10.5" customHeight="1" x14ac:dyDescent="0.25">
      <c r="A9" s="62"/>
      <c r="B9" s="62"/>
      <c r="C9" s="62"/>
      <c r="D9" s="62"/>
      <c r="E9" s="82"/>
      <c r="F9" s="82"/>
      <c r="G9" s="82"/>
      <c r="H9" s="82"/>
      <c r="I9" s="82"/>
      <c r="J9" s="82"/>
      <c r="K9" s="83"/>
    </row>
    <row r="10" spans="1:11" ht="43.5" customHeight="1" x14ac:dyDescent="0.25">
      <c r="A10" s="62"/>
      <c r="B10" s="62"/>
      <c r="C10" s="62"/>
      <c r="D10" s="62"/>
      <c r="E10" s="38" t="s">
        <v>65</v>
      </c>
      <c r="F10" s="29" t="s">
        <v>0</v>
      </c>
      <c r="G10" s="20" t="s">
        <v>3</v>
      </c>
      <c r="H10" s="29" t="s">
        <v>4</v>
      </c>
      <c r="I10" s="29" t="s">
        <v>5</v>
      </c>
      <c r="J10" s="29" t="s">
        <v>6</v>
      </c>
      <c r="K10" s="29" t="s">
        <v>20</v>
      </c>
    </row>
    <row r="11" spans="1:11" ht="12" customHeight="1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</row>
    <row r="12" spans="1:11" x14ac:dyDescent="0.25">
      <c r="A12" s="65">
        <v>1</v>
      </c>
      <c r="B12" s="66" t="s">
        <v>22</v>
      </c>
      <c r="C12" s="62" t="s">
        <v>23</v>
      </c>
      <c r="D12" s="29" t="s">
        <v>20</v>
      </c>
      <c r="E12" s="21">
        <f t="shared" ref="E12:J12" si="0">SUM(E13:E16)</f>
        <v>15530.74</v>
      </c>
      <c r="F12" s="21">
        <f t="shared" si="0"/>
        <v>15620.94</v>
      </c>
      <c r="G12" s="21">
        <f t="shared" si="0"/>
        <v>14210.592199999999</v>
      </c>
      <c r="H12" s="21">
        <f t="shared" si="0"/>
        <v>14631.619258199999</v>
      </c>
      <c r="I12" s="21">
        <f t="shared" si="0"/>
        <v>15090.0146096014</v>
      </c>
      <c r="J12" s="21">
        <f t="shared" si="0"/>
        <v>15475.310576725959</v>
      </c>
      <c r="K12" s="21">
        <f>K13+K14+K15+K16</f>
        <v>90559.216644527347</v>
      </c>
    </row>
    <row r="13" spans="1:11" x14ac:dyDescent="0.25">
      <c r="A13" s="65"/>
      <c r="B13" s="66"/>
      <c r="C13" s="62"/>
      <c r="D13" s="29" t="s">
        <v>24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f>SUM(E13:J13)</f>
        <v>0</v>
      </c>
    </row>
    <row r="14" spans="1:11" x14ac:dyDescent="0.25">
      <c r="A14" s="65"/>
      <c r="B14" s="66"/>
      <c r="C14" s="62"/>
      <c r="D14" s="29" t="s">
        <v>25</v>
      </c>
      <c r="E14" s="21">
        <v>1325.7</v>
      </c>
      <c r="F14" s="21">
        <v>1325.7</v>
      </c>
      <c r="G14" s="21">
        <v>0</v>
      </c>
      <c r="H14" s="21">
        <v>0</v>
      </c>
      <c r="I14" s="21">
        <v>0</v>
      </c>
      <c r="J14" s="21">
        <v>0</v>
      </c>
      <c r="K14" s="21">
        <f>SUM(E14:J14)</f>
        <v>2651.4</v>
      </c>
    </row>
    <row r="15" spans="1:11" x14ac:dyDescent="0.25">
      <c r="A15" s="65"/>
      <c r="B15" s="66"/>
      <c r="C15" s="62"/>
      <c r="D15" s="29" t="s">
        <v>26</v>
      </c>
      <c r="E15" s="40">
        <v>12057.64</v>
      </c>
      <c r="F15" s="40">
        <v>12057.64</v>
      </c>
      <c r="G15" s="40">
        <f>F15*98.5%</f>
        <v>11876.775399999999</v>
      </c>
      <c r="H15" s="40">
        <f>G15*102.7%</f>
        <v>12197.4483358</v>
      </c>
      <c r="I15" s="40">
        <f>H15*102.9%</f>
        <v>12551.174337538201</v>
      </c>
      <c r="J15" s="40">
        <f>I15*102.2%</f>
        <v>12827.300172964042</v>
      </c>
      <c r="K15" s="21">
        <f>SUM(E15:J15)</f>
        <v>73567.978246302242</v>
      </c>
    </row>
    <row r="16" spans="1:11" x14ac:dyDescent="0.25">
      <c r="A16" s="65"/>
      <c r="B16" s="66"/>
      <c r="C16" s="62"/>
      <c r="D16" s="29" t="s">
        <v>27</v>
      </c>
      <c r="E16" s="21">
        <v>2147.4</v>
      </c>
      <c r="F16" s="21">
        <v>2237.6</v>
      </c>
      <c r="G16" s="21">
        <f>F16*104.3%</f>
        <v>2333.8167999999996</v>
      </c>
      <c r="H16" s="21">
        <f>G16*104.3%</f>
        <v>2434.1709223999992</v>
      </c>
      <c r="I16" s="21">
        <f>H16*104.3%</f>
        <v>2538.8402720631989</v>
      </c>
      <c r="J16" s="21">
        <f>I16*104.3%</f>
        <v>2648.0104037619162</v>
      </c>
      <c r="K16" s="21">
        <f>SUM(E16:J16)</f>
        <v>14339.838398225114</v>
      </c>
    </row>
    <row r="17" spans="1:11" x14ac:dyDescent="0.25">
      <c r="A17" s="67">
        <v>2</v>
      </c>
      <c r="B17" s="69" t="s">
        <v>29</v>
      </c>
      <c r="C17" s="71" t="s">
        <v>23</v>
      </c>
      <c r="D17" s="29" t="s">
        <v>20</v>
      </c>
      <c r="E17" s="21">
        <f t="shared" ref="E17:J17" si="1">SUM(E18:E21)</f>
        <v>95255.2</v>
      </c>
      <c r="F17" s="21">
        <f t="shared" si="1"/>
        <v>96255.2</v>
      </c>
      <c r="G17" s="21">
        <f t="shared" si="1"/>
        <v>97255.2</v>
      </c>
      <c r="H17" s="21">
        <f t="shared" si="1"/>
        <v>98842.590400000001</v>
      </c>
      <c r="I17" s="21">
        <f t="shared" si="1"/>
        <v>100490.52552160001</v>
      </c>
      <c r="J17" s="21">
        <f t="shared" si="1"/>
        <v>101996.31708307521</v>
      </c>
      <c r="K17" s="21">
        <f>K18+K19+K20+K21</f>
        <v>590095.03300467529</v>
      </c>
    </row>
    <row r="18" spans="1:11" x14ac:dyDescent="0.25">
      <c r="A18" s="68"/>
      <c r="B18" s="70"/>
      <c r="C18" s="72"/>
      <c r="D18" s="29" t="s">
        <v>24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0</v>
      </c>
    </row>
    <row r="19" spans="1:11" x14ac:dyDescent="0.25">
      <c r="A19" s="68"/>
      <c r="B19" s="70"/>
      <c r="C19" s="72"/>
      <c r="D19" s="29" t="s">
        <v>25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f>SUM(E19:J19)</f>
        <v>0</v>
      </c>
    </row>
    <row r="20" spans="1:11" x14ac:dyDescent="0.25">
      <c r="A20" s="68"/>
      <c r="B20" s="70"/>
      <c r="C20" s="72"/>
      <c r="D20" s="29" t="s">
        <v>26</v>
      </c>
      <c r="E20" s="21">
        <v>21755.200000000001</v>
      </c>
      <c r="F20" s="21">
        <v>21755.200000000001</v>
      </c>
      <c r="G20" s="21">
        <v>21755.200000000001</v>
      </c>
      <c r="H20" s="21">
        <f>G20*102.7%</f>
        <v>22342.590400000005</v>
      </c>
      <c r="I20" s="21">
        <f>H20*102.9%</f>
        <v>22990.525521600008</v>
      </c>
      <c r="J20" s="21">
        <f>I20*102.2%</f>
        <v>23496.31708307521</v>
      </c>
      <c r="K20" s="21">
        <f>SUM(E20:J20)</f>
        <v>134095.03300467524</v>
      </c>
    </row>
    <row r="21" spans="1:11" x14ac:dyDescent="0.25">
      <c r="A21" s="68"/>
      <c r="B21" s="70"/>
      <c r="C21" s="73"/>
      <c r="D21" s="29" t="s">
        <v>27</v>
      </c>
      <c r="E21" s="21">
        <v>73500</v>
      </c>
      <c r="F21" s="21">
        <v>74500</v>
      </c>
      <c r="G21" s="21">
        <v>75500</v>
      </c>
      <c r="H21" s="21">
        <v>76500</v>
      </c>
      <c r="I21" s="21">
        <v>77500</v>
      </c>
      <c r="J21" s="21">
        <v>78500</v>
      </c>
      <c r="K21" s="21">
        <f>SUM(E21:J21)</f>
        <v>456000</v>
      </c>
    </row>
    <row r="22" spans="1:11" x14ac:dyDescent="0.25">
      <c r="A22" s="63">
        <v>3</v>
      </c>
      <c r="B22" s="64" t="s">
        <v>31</v>
      </c>
      <c r="C22" s="62" t="s">
        <v>23</v>
      </c>
      <c r="D22" s="20" t="s">
        <v>20</v>
      </c>
      <c r="E22" s="21">
        <f t="shared" ref="E22:J22" si="2">E23+E24+E25+E26</f>
        <v>7396.0599999999995</v>
      </c>
      <c r="F22" s="21">
        <f t="shared" si="2"/>
        <v>3485.1</v>
      </c>
      <c r="G22" s="21">
        <f t="shared" si="2"/>
        <v>3112.0694999999996</v>
      </c>
      <c r="H22" s="21">
        <f t="shared" si="2"/>
        <v>3199.7453765</v>
      </c>
      <c r="I22" s="21">
        <f t="shared" si="2"/>
        <v>3295.9429924185006</v>
      </c>
      <c r="J22" s="21">
        <f t="shared" si="2"/>
        <v>3372.1337382517077</v>
      </c>
      <c r="K22" s="21">
        <f>K23+K24+K25+K26</f>
        <v>23861.051607170211</v>
      </c>
    </row>
    <row r="23" spans="1:11" x14ac:dyDescent="0.25">
      <c r="A23" s="63"/>
      <c r="B23" s="64"/>
      <c r="C23" s="62"/>
      <c r="D23" s="20" t="s">
        <v>24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 x14ac:dyDescent="0.25">
      <c r="A24" s="63"/>
      <c r="B24" s="64"/>
      <c r="C24" s="62"/>
      <c r="D24" s="20" t="s">
        <v>25</v>
      </c>
      <c r="E24" s="21">
        <v>331.4</v>
      </c>
      <c r="F24" s="21">
        <v>331.4</v>
      </c>
      <c r="G24" s="21">
        <v>0</v>
      </c>
      <c r="H24" s="21">
        <v>0</v>
      </c>
      <c r="I24" s="21">
        <v>0</v>
      </c>
      <c r="J24" s="21">
        <f>I24</f>
        <v>0</v>
      </c>
      <c r="K24" s="21">
        <f>SUM(E24:J24)</f>
        <v>662.8</v>
      </c>
    </row>
    <row r="25" spans="1:11" x14ac:dyDescent="0.25">
      <c r="A25" s="63"/>
      <c r="B25" s="64"/>
      <c r="C25" s="62"/>
      <c r="D25" s="20" t="s">
        <v>26</v>
      </c>
      <c r="E25" s="40">
        <v>7024.66</v>
      </c>
      <c r="F25" s="40">
        <v>3108.7</v>
      </c>
      <c r="G25" s="40">
        <f>F25*98.5%</f>
        <v>3062.0694999999996</v>
      </c>
      <c r="H25" s="40">
        <f>G25*102.7%</f>
        <v>3144.7453765</v>
      </c>
      <c r="I25" s="40">
        <f>H25*102.9%</f>
        <v>3235.9429924185006</v>
      </c>
      <c r="J25" s="40">
        <f>I25*102.2%</f>
        <v>3307.1337382517077</v>
      </c>
      <c r="K25" s="21">
        <f>SUM(E25:J25)</f>
        <v>22883.251607170212</v>
      </c>
    </row>
    <row r="26" spans="1:11" x14ac:dyDescent="0.25">
      <c r="A26" s="63"/>
      <c r="B26" s="64"/>
      <c r="C26" s="62"/>
      <c r="D26" s="20" t="s">
        <v>27</v>
      </c>
      <c r="E26" s="21">
        <v>40</v>
      </c>
      <c r="F26" s="21">
        <v>45</v>
      </c>
      <c r="G26" s="21">
        <v>50</v>
      </c>
      <c r="H26" s="21">
        <v>55</v>
      </c>
      <c r="I26" s="21">
        <v>60</v>
      </c>
      <c r="J26" s="21">
        <v>65</v>
      </c>
      <c r="K26" s="21">
        <f>SUM(E26:J26)</f>
        <v>315</v>
      </c>
    </row>
    <row r="27" spans="1:11" x14ac:dyDescent="0.25">
      <c r="A27" s="74" t="s">
        <v>56</v>
      </c>
      <c r="B27" s="64" t="s">
        <v>32</v>
      </c>
      <c r="C27" s="62" t="s">
        <v>23</v>
      </c>
      <c r="D27" s="20" t="s">
        <v>20</v>
      </c>
      <c r="E27" s="21">
        <f t="shared" ref="E27:J27" si="3">E28+E29+E30+E31</f>
        <v>6400</v>
      </c>
      <c r="F27" s="21">
        <f t="shared" si="3"/>
        <v>6400</v>
      </c>
      <c r="G27" s="21">
        <f t="shared" si="3"/>
        <v>6400</v>
      </c>
      <c r="H27" s="21">
        <f t="shared" si="3"/>
        <v>6572.8000000000011</v>
      </c>
      <c r="I27" s="21">
        <f t="shared" si="3"/>
        <v>6763.4112000000023</v>
      </c>
      <c r="J27" s="21">
        <f t="shared" si="3"/>
        <v>6912.2062464000028</v>
      </c>
      <c r="K27" s="21">
        <f>K28+K29+K30+K31</f>
        <v>39448.41744640001</v>
      </c>
    </row>
    <row r="28" spans="1:11" x14ac:dyDescent="0.25">
      <c r="A28" s="74"/>
      <c r="B28" s="64"/>
      <c r="C28" s="62"/>
      <c r="D28" s="20" t="s">
        <v>24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f>SUM(E28:J28)</f>
        <v>0</v>
      </c>
    </row>
    <row r="29" spans="1:11" x14ac:dyDescent="0.25">
      <c r="A29" s="74"/>
      <c r="B29" s="64"/>
      <c r="C29" s="62"/>
      <c r="D29" s="20" t="s">
        <v>25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f>SUM(E29:J29)</f>
        <v>0</v>
      </c>
    </row>
    <row r="30" spans="1:11" x14ac:dyDescent="0.25">
      <c r="A30" s="74"/>
      <c r="B30" s="64"/>
      <c r="C30" s="62"/>
      <c r="D30" s="20" t="s">
        <v>26</v>
      </c>
      <c r="E30" s="21">
        <v>6400</v>
      </c>
      <c r="F30" s="21">
        <v>6400</v>
      </c>
      <c r="G30" s="21">
        <v>6400</v>
      </c>
      <c r="H30" s="21">
        <f>G30*102.7%</f>
        <v>6572.8000000000011</v>
      </c>
      <c r="I30" s="21">
        <f>H30*102.9%</f>
        <v>6763.4112000000023</v>
      </c>
      <c r="J30" s="21">
        <f>I30*102.2%</f>
        <v>6912.2062464000028</v>
      </c>
      <c r="K30" s="21">
        <f>SUM(E30:J30)</f>
        <v>39448.41744640001</v>
      </c>
    </row>
    <row r="31" spans="1:11" x14ac:dyDescent="0.25">
      <c r="A31" s="74"/>
      <c r="B31" s="64"/>
      <c r="C31" s="62"/>
      <c r="D31" s="20" t="s">
        <v>27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f>SUM(E31:J31)</f>
        <v>0</v>
      </c>
    </row>
    <row r="32" spans="1:11" x14ac:dyDescent="0.25">
      <c r="A32" s="74" t="s">
        <v>57</v>
      </c>
      <c r="B32" s="64" t="s">
        <v>62</v>
      </c>
      <c r="C32" s="62" t="s">
        <v>23</v>
      </c>
      <c r="D32" s="20" t="s">
        <v>20</v>
      </c>
      <c r="E32" s="21">
        <f t="shared" ref="E32:J32" si="4">E35+E36</f>
        <v>2300</v>
      </c>
      <c r="F32" s="21">
        <f t="shared" si="4"/>
        <v>2300</v>
      </c>
      <c r="G32" s="21">
        <f t="shared" si="4"/>
        <v>2300</v>
      </c>
      <c r="H32" s="21">
        <f t="shared" si="4"/>
        <v>2362.1000000000004</v>
      </c>
      <c r="I32" s="21">
        <f t="shared" si="4"/>
        <v>2430.6009000000008</v>
      </c>
      <c r="J32" s="21">
        <f t="shared" si="4"/>
        <v>2484.074119800001</v>
      </c>
      <c r="K32" s="21">
        <f>SUM(E32:J32)</f>
        <v>14176.775019800003</v>
      </c>
    </row>
    <row r="33" spans="1:11" x14ac:dyDescent="0.25">
      <c r="A33" s="74"/>
      <c r="B33" s="64"/>
      <c r="C33" s="62"/>
      <c r="D33" s="20" t="s">
        <v>24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x14ac:dyDescent="0.25">
      <c r="A34" s="74"/>
      <c r="B34" s="64"/>
      <c r="C34" s="62"/>
      <c r="D34" s="20" t="s">
        <v>25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 x14ac:dyDescent="0.25">
      <c r="A35" s="74"/>
      <c r="B35" s="64"/>
      <c r="C35" s="62"/>
      <c r="D35" s="20" t="s">
        <v>26</v>
      </c>
      <c r="E35" s="21">
        <v>2300</v>
      </c>
      <c r="F35" s="21">
        <v>2300</v>
      </c>
      <c r="G35" s="21">
        <v>2300</v>
      </c>
      <c r="H35" s="21">
        <f>G35*102.7%</f>
        <v>2362.1000000000004</v>
      </c>
      <c r="I35" s="21">
        <f>H35*102.9%</f>
        <v>2430.6009000000008</v>
      </c>
      <c r="J35" s="21">
        <f>I35*102.2%</f>
        <v>2484.074119800001</v>
      </c>
      <c r="K35" s="21">
        <f>SUM(E35:J35)</f>
        <v>14176.775019800003</v>
      </c>
    </row>
    <row r="36" spans="1:11" x14ac:dyDescent="0.25">
      <c r="A36" s="74"/>
      <c r="B36" s="64"/>
      <c r="C36" s="62"/>
      <c r="D36" s="20" t="s">
        <v>27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f>E36+F36+G36+H36+I36+J36</f>
        <v>0</v>
      </c>
    </row>
    <row r="37" spans="1:11" x14ac:dyDescent="0.25">
      <c r="A37" s="74" t="s">
        <v>58</v>
      </c>
      <c r="B37" s="64" t="s">
        <v>34</v>
      </c>
      <c r="C37" s="62" t="s">
        <v>23</v>
      </c>
      <c r="D37" s="20" t="s">
        <v>20</v>
      </c>
      <c r="E37" s="21">
        <f t="shared" ref="E37:J37" si="5">E38+E39+E40+E41</f>
        <v>16500</v>
      </c>
      <c r="F37" s="21">
        <f t="shared" si="5"/>
        <v>16500</v>
      </c>
      <c r="G37" s="21">
        <f t="shared" si="5"/>
        <v>16500</v>
      </c>
      <c r="H37" s="21">
        <f t="shared" si="5"/>
        <v>16945.500000000004</v>
      </c>
      <c r="I37" s="21">
        <f t="shared" si="5"/>
        <v>17436.919500000007</v>
      </c>
      <c r="J37" s="21">
        <f t="shared" si="5"/>
        <v>17820.531729000009</v>
      </c>
      <c r="K37" s="21">
        <f>K38+K39+K40+K41</f>
        <v>101702.95122900001</v>
      </c>
    </row>
    <row r="38" spans="1:11" x14ac:dyDescent="0.25">
      <c r="A38" s="74"/>
      <c r="B38" s="64"/>
      <c r="C38" s="62"/>
      <c r="D38" s="20" t="s">
        <v>24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74"/>
      <c r="B39" s="64"/>
      <c r="C39" s="62"/>
      <c r="D39" s="20" t="s">
        <v>25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0</v>
      </c>
    </row>
    <row r="40" spans="1:11" x14ac:dyDescent="0.25">
      <c r="A40" s="74"/>
      <c r="B40" s="64"/>
      <c r="C40" s="62"/>
      <c r="D40" s="20" t="s">
        <v>26</v>
      </c>
      <c r="E40" s="21">
        <v>16500</v>
      </c>
      <c r="F40" s="21">
        <v>16500</v>
      </c>
      <c r="G40" s="21">
        <v>16500</v>
      </c>
      <c r="H40" s="21">
        <f>G40*102.7%</f>
        <v>16945.500000000004</v>
      </c>
      <c r="I40" s="21">
        <f>H40*102.9%</f>
        <v>17436.919500000007</v>
      </c>
      <c r="J40" s="21">
        <f>I40*102.2%</f>
        <v>17820.531729000009</v>
      </c>
      <c r="K40" s="21">
        <f>SUM(E40:J40)</f>
        <v>101702.95122900001</v>
      </c>
    </row>
    <row r="41" spans="1:11" x14ac:dyDescent="0.25">
      <c r="A41" s="74"/>
      <c r="B41" s="64"/>
      <c r="C41" s="62"/>
      <c r="D41" s="20" t="s">
        <v>27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>SUM(E41:J41)</f>
        <v>0</v>
      </c>
    </row>
    <row r="42" spans="1:11" x14ac:dyDescent="0.25">
      <c r="A42" s="74" t="s">
        <v>59</v>
      </c>
      <c r="B42" s="64" t="s">
        <v>35</v>
      </c>
      <c r="C42" s="62" t="s">
        <v>23</v>
      </c>
      <c r="D42" s="20" t="s">
        <v>20</v>
      </c>
      <c r="E42" s="21">
        <f t="shared" ref="E42:J42" si="6">E43+E44+E45+E46</f>
        <v>1800</v>
      </c>
      <c r="F42" s="21">
        <f t="shared" si="6"/>
        <v>1800</v>
      </c>
      <c r="G42" s="21">
        <f t="shared" si="6"/>
        <v>1800</v>
      </c>
      <c r="H42" s="21">
        <f t="shared" si="6"/>
        <v>1800</v>
      </c>
      <c r="I42" s="21">
        <f t="shared" si="6"/>
        <v>1800</v>
      </c>
      <c r="J42" s="21">
        <f t="shared" si="6"/>
        <v>1800</v>
      </c>
      <c r="K42" s="21">
        <f>K43+K44+K45+K46</f>
        <v>10800</v>
      </c>
    </row>
    <row r="43" spans="1:11" x14ac:dyDescent="0.25">
      <c r="A43" s="74"/>
      <c r="B43" s="64"/>
      <c r="C43" s="62"/>
      <c r="D43" s="20" t="s">
        <v>24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 x14ac:dyDescent="0.25">
      <c r="A44" s="74"/>
      <c r="B44" s="64"/>
      <c r="C44" s="62"/>
      <c r="D44" s="20" t="s">
        <v>25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f>SUM(E44:J44)</f>
        <v>0</v>
      </c>
    </row>
    <row r="45" spans="1:11" x14ac:dyDescent="0.25">
      <c r="A45" s="74"/>
      <c r="B45" s="64"/>
      <c r="C45" s="62"/>
      <c r="D45" s="20" t="s">
        <v>26</v>
      </c>
      <c r="E45" s="21">
        <v>1800</v>
      </c>
      <c r="F45" s="21">
        <v>1800</v>
      </c>
      <c r="G45" s="21">
        <v>1800</v>
      </c>
      <c r="H45" s="21">
        <v>1800</v>
      </c>
      <c r="I45" s="21">
        <v>1800</v>
      </c>
      <c r="J45" s="21">
        <v>1800</v>
      </c>
      <c r="K45" s="21">
        <f>SUM(E45:J45)</f>
        <v>10800</v>
      </c>
    </row>
    <row r="46" spans="1:11" x14ac:dyDescent="0.25">
      <c r="A46" s="74"/>
      <c r="B46" s="64"/>
      <c r="C46" s="62"/>
      <c r="D46" s="20" t="s">
        <v>27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f>SUM(E46:J46)</f>
        <v>0</v>
      </c>
    </row>
    <row r="47" spans="1:11" x14ac:dyDescent="0.25">
      <c r="A47" s="74" t="s">
        <v>60</v>
      </c>
      <c r="B47" s="75" t="s">
        <v>63</v>
      </c>
      <c r="C47" s="62" t="s">
        <v>23</v>
      </c>
      <c r="D47" s="20" t="s">
        <v>20</v>
      </c>
      <c r="E47" s="21">
        <f t="shared" ref="E47:J47" si="7">E48+E49+E50+E51</f>
        <v>89753.89</v>
      </c>
      <c r="F47" s="21">
        <f t="shared" si="7"/>
        <v>72328.310000000012</v>
      </c>
      <c r="G47" s="21">
        <f t="shared" si="7"/>
        <v>69439.806250000009</v>
      </c>
      <c r="H47" s="21">
        <f t="shared" si="7"/>
        <v>71500.318317550016</v>
      </c>
      <c r="I47" s="21">
        <f t="shared" si="7"/>
        <v>73734.558509969982</v>
      </c>
      <c r="J47" s="21">
        <f t="shared" si="7"/>
        <v>75640.617893976305</v>
      </c>
      <c r="K47" s="21">
        <f>K48+K49+K50+K51</f>
        <v>452397.50097149634</v>
      </c>
    </row>
    <row r="48" spans="1:11" x14ac:dyDescent="0.25">
      <c r="A48" s="74"/>
      <c r="B48" s="76"/>
      <c r="C48" s="62"/>
      <c r="D48" s="20" t="s">
        <v>24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4"/>
      <c r="B49" s="76"/>
      <c r="C49" s="62"/>
      <c r="D49" s="20" t="s">
        <v>25</v>
      </c>
      <c r="E49" s="21">
        <v>2647.3</v>
      </c>
      <c r="F49" s="21">
        <v>2647.3</v>
      </c>
      <c r="G49" s="21">
        <v>0</v>
      </c>
      <c r="H49" s="21">
        <v>0</v>
      </c>
      <c r="I49" s="21">
        <v>0</v>
      </c>
      <c r="J49" s="21">
        <f>I49</f>
        <v>0</v>
      </c>
      <c r="K49" s="21">
        <f>SUM(E49:J49)</f>
        <v>5294.6</v>
      </c>
    </row>
    <row r="50" spans="1:11" x14ac:dyDescent="0.25">
      <c r="A50" s="74"/>
      <c r="B50" s="76"/>
      <c r="C50" s="62"/>
      <c r="D50" s="20" t="s">
        <v>26</v>
      </c>
      <c r="E50" s="40">
        <v>72776.39</v>
      </c>
      <c r="F50" s="40">
        <v>54791.91</v>
      </c>
      <c r="G50" s="40">
        <f>F50*98.5%</f>
        <v>53970.031350000005</v>
      </c>
      <c r="H50" s="40">
        <f>G50*102.7%</f>
        <v>55427.222196450013</v>
      </c>
      <c r="I50" s="40">
        <f>H50*102.9%</f>
        <v>57034.611640147072</v>
      </c>
      <c r="J50" s="40">
        <f>I50*102.2%</f>
        <v>58289.373096230309</v>
      </c>
      <c r="K50" s="40">
        <f>SUM(E50:J50)</f>
        <v>352289.53828282742</v>
      </c>
    </row>
    <row r="51" spans="1:11" x14ac:dyDescent="0.25">
      <c r="A51" s="74"/>
      <c r="B51" s="77"/>
      <c r="C51" s="62"/>
      <c r="D51" s="20" t="s">
        <v>27</v>
      </c>
      <c r="E51" s="21">
        <v>14330.2</v>
      </c>
      <c r="F51" s="21">
        <v>14889.1</v>
      </c>
      <c r="G51" s="21">
        <f>F51*103.9%</f>
        <v>15469.774900000002</v>
      </c>
      <c r="H51" s="21">
        <f>G51*103.9%</f>
        <v>16073.096121100005</v>
      </c>
      <c r="I51" s="21">
        <f>H51*103.9%</f>
        <v>16699.946869822907</v>
      </c>
      <c r="J51" s="21">
        <f>I51*103.9%</f>
        <v>17351.244797746003</v>
      </c>
      <c r="K51" s="21">
        <f>SUM(E51:J51)</f>
        <v>94813.362688668916</v>
      </c>
    </row>
    <row r="52" spans="1:11" x14ac:dyDescent="0.25">
      <c r="A52" s="85" t="s">
        <v>61</v>
      </c>
      <c r="B52" s="75" t="s">
        <v>64</v>
      </c>
      <c r="C52" s="62" t="s">
        <v>23</v>
      </c>
      <c r="D52" s="20" t="s">
        <v>20</v>
      </c>
      <c r="E52" s="21">
        <f t="shared" ref="E52:K52" si="8">E53+E54+E55+E56</f>
        <v>0</v>
      </c>
      <c r="F52" s="21">
        <f t="shared" si="8"/>
        <v>0</v>
      </c>
      <c r="G52" s="21">
        <f t="shared" si="8"/>
        <v>0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1">
        <f t="shared" si="8"/>
        <v>0</v>
      </c>
    </row>
    <row r="53" spans="1:11" x14ac:dyDescent="0.25">
      <c r="A53" s="86"/>
      <c r="B53" s="76"/>
      <c r="C53" s="62"/>
      <c r="D53" s="20" t="s">
        <v>24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ref="K53:K56" si="9">SUM(E53:J53)</f>
        <v>0</v>
      </c>
    </row>
    <row r="54" spans="1:11" x14ac:dyDescent="0.25">
      <c r="A54" s="86"/>
      <c r="B54" s="76"/>
      <c r="C54" s="62"/>
      <c r="D54" s="20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f t="shared" si="9"/>
        <v>0</v>
      </c>
    </row>
    <row r="55" spans="1:11" x14ac:dyDescent="0.25">
      <c r="A55" s="86"/>
      <c r="B55" s="76"/>
      <c r="C55" s="62"/>
      <c r="D55" s="20" t="s">
        <v>26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9"/>
        <v>0</v>
      </c>
    </row>
    <row r="56" spans="1:11" x14ac:dyDescent="0.25">
      <c r="A56" s="87"/>
      <c r="B56" s="77"/>
      <c r="C56" s="62"/>
      <c r="D56" s="20" t="s">
        <v>27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f t="shared" si="9"/>
        <v>0</v>
      </c>
    </row>
    <row r="57" spans="1:11" x14ac:dyDescent="0.25">
      <c r="A57" s="62"/>
      <c r="B57" s="62"/>
      <c r="C57" s="62" t="s">
        <v>37</v>
      </c>
      <c r="D57" s="29" t="s">
        <v>20</v>
      </c>
      <c r="E57" s="21">
        <f>E12+E17+E22+E27+E32+E37+E42+E47+E52</f>
        <v>234935.89</v>
      </c>
      <c r="F57" s="21">
        <f>F12+F17+F22+F27+F32+F37+F42+F47+F52</f>
        <v>214689.55</v>
      </c>
      <c r="G57" s="21">
        <f t="shared" ref="E57:J61" si="10">G12+G17+G22+G27+G32+G37+G42+G47</f>
        <v>211017.66795000003</v>
      </c>
      <c r="H57" s="21">
        <f>H12+H17+H22+H27+H32+H37+H42+H47+H52</f>
        <v>215854.67335225001</v>
      </c>
      <c r="I57" s="21">
        <f>I12+I17+I22+I27+I32+I37+I42+I47+I52</f>
        <v>221041.9732335899</v>
      </c>
      <c r="J57" s="21">
        <f>J12+J17+J22+J27+J32+J37+J42+J47+J52</f>
        <v>225501.19138722919</v>
      </c>
      <c r="K57" s="21">
        <f t="shared" ref="K57:K61" si="11">SUM(E57:J57)</f>
        <v>1323040.945923069</v>
      </c>
    </row>
    <row r="58" spans="1:11" x14ac:dyDescent="0.25">
      <c r="A58" s="62"/>
      <c r="B58" s="62"/>
      <c r="C58" s="62"/>
      <c r="D58" s="29" t="s">
        <v>24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  <c r="I58" s="21">
        <f t="shared" si="10"/>
        <v>0</v>
      </c>
      <c r="J58" s="21">
        <f t="shared" si="10"/>
        <v>0</v>
      </c>
      <c r="K58" s="21">
        <f t="shared" si="11"/>
        <v>0</v>
      </c>
    </row>
    <row r="59" spans="1:11" x14ac:dyDescent="0.25">
      <c r="A59" s="62"/>
      <c r="B59" s="62"/>
      <c r="C59" s="62"/>
      <c r="D59" s="29" t="s">
        <v>25</v>
      </c>
      <c r="E59" s="21">
        <f t="shared" si="10"/>
        <v>4304.3999999999996</v>
      </c>
      <c r="F59" s="21">
        <f t="shared" si="10"/>
        <v>4304.3999999999996</v>
      </c>
      <c r="G59" s="21">
        <f t="shared" si="10"/>
        <v>0</v>
      </c>
      <c r="H59" s="21">
        <f t="shared" si="10"/>
        <v>0</v>
      </c>
      <c r="I59" s="21">
        <f t="shared" si="10"/>
        <v>0</v>
      </c>
      <c r="J59" s="21">
        <f t="shared" si="10"/>
        <v>0</v>
      </c>
      <c r="K59" s="21">
        <f t="shared" si="11"/>
        <v>8608.7999999999993</v>
      </c>
    </row>
    <row r="60" spans="1:11" x14ac:dyDescent="0.25">
      <c r="A60" s="62"/>
      <c r="B60" s="62"/>
      <c r="C60" s="62"/>
      <c r="D60" s="29" t="s">
        <v>26</v>
      </c>
      <c r="E60" s="21">
        <f>E15+E20+E25+E55+E30+E35+E40+E45+E50</f>
        <v>140613.89000000001</v>
      </c>
      <c r="F60" s="21">
        <f t="shared" ref="F60:J60" si="12">F15+F20+F25+F55+F30+F35+F40+F45+F50</f>
        <v>118713.45</v>
      </c>
      <c r="G60" s="21">
        <f t="shared" si="12"/>
        <v>117664.07625</v>
      </c>
      <c r="H60" s="21">
        <f t="shared" si="12"/>
        <v>120792.40630875001</v>
      </c>
      <c r="I60" s="21">
        <f t="shared" si="12"/>
        <v>124243.1860917038</v>
      </c>
      <c r="J60" s="21">
        <f t="shared" si="12"/>
        <v>126936.93618572129</v>
      </c>
      <c r="K60" s="21">
        <f t="shared" si="11"/>
        <v>748963.94483617519</v>
      </c>
    </row>
    <row r="61" spans="1:11" x14ac:dyDescent="0.25">
      <c r="A61" s="62"/>
      <c r="B61" s="62"/>
      <c r="C61" s="62"/>
      <c r="D61" s="29" t="s">
        <v>27</v>
      </c>
      <c r="E61" s="21">
        <f t="shared" si="10"/>
        <v>90017.599999999991</v>
      </c>
      <c r="F61" s="21">
        <f t="shared" si="10"/>
        <v>91671.700000000012</v>
      </c>
      <c r="G61" s="21">
        <f t="shared" si="10"/>
        <v>93353.591700000004</v>
      </c>
      <c r="H61" s="21">
        <f t="shared" si="10"/>
        <v>95062.267043500004</v>
      </c>
      <c r="I61" s="21">
        <f t="shared" si="10"/>
        <v>96798.787141886103</v>
      </c>
      <c r="J61" s="21">
        <f t="shared" si="10"/>
        <v>98564.255201507913</v>
      </c>
      <c r="K61" s="21">
        <f t="shared" si="11"/>
        <v>565468.20108689403</v>
      </c>
    </row>
    <row r="63" spans="1:11" ht="16.5" x14ac:dyDescent="0.25">
      <c r="A63" s="84" t="s">
        <v>51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</row>
    <row r="64" spans="1:11" ht="16.5" x14ac:dyDescent="0.25">
      <c r="A64" s="34" t="s">
        <v>52</v>
      </c>
      <c r="B64" s="35"/>
      <c r="C64" s="35"/>
      <c r="D64" s="35"/>
      <c r="E64" s="35"/>
      <c r="F64" s="35"/>
      <c r="G64" s="35"/>
      <c r="H64" s="36"/>
      <c r="I64" s="36"/>
      <c r="J64" s="37"/>
      <c r="K64" s="37"/>
    </row>
    <row r="65" spans="1:11" ht="16.5" x14ac:dyDescent="0.25">
      <c r="A65" s="34" t="s">
        <v>53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6.5" x14ac:dyDescent="0.25">
      <c r="A66" s="34" t="s">
        <v>54</v>
      </c>
      <c r="B66" s="35"/>
      <c r="C66" s="35"/>
      <c r="D66" s="35"/>
      <c r="E66" s="35"/>
      <c r="F66" s="35"/>
      <c r="G66" s="35"/>
      <c r="H66" s="35"/>
      <c r="I66" s="35"/>
      <c r="J66" s="35"/>
      <c r="K66" s="37"/>
    </row>
    <row r="67" spans="1:11" ht="16.5" x14ac:dyDescent="0.25">
      <c r="A67" s="34" t="s">
        <v>55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</sheetData>
  <mergeCells count="37">
    <mergeCell ref="A47:A51"/>
    <mergeCell ref="B47:B51"/>
    <mergeCell ref="C47:C51"/>
    <mergeCell ref="A57:B61"/>
    <mergeCell ref="C57:C61"/>
    <mergeCell ref="A52:A56"/>
    <mergeCell ref="B52:B56"/>
    <mergeCell ref="C52:C56"/>
    <mergeCell ref="A37:A41"/>
    <mergeCell ref="B37:B41"/>
    <mergeCell ref="C37:C41"/>
    <mergeCell ref="A42:A46"/>
    <mergeCell ref="B42:B46"/>
    <mergeCell ref="C42:C46"/>
    <mergeCell ref="C22:C26"/>
    <mergeCell ref="A27:A31"/>
    <mergeCell ref="B27:B31"/>
    <mergeCell ref="C27:C31"/>
    <mergeCell ref="A32:A36"/>
    <mergeCell ref="B32:B36"/>
    <mergeCell ref="C32:C36"/>
    <mergeCell ref="A63:K63"/>
    <mergeCell ref="A5:K5"/>
    <mergeCell ref="A6:K6"/>
    <mergeCell ref="A8:A10"/>
    <mergeCell ref="B8:B10"/>
    <mergeCell ref="C8:C10"/>
    <mergeCell ref="D8:D10"/>
    <mergeCell ref="E8:K9"/>
    <mergeCell ref="A12:A16"/>
    <mergeCell ref="B12:B16"/>
    <mergeCell ref="C12:C16"/>
    <mergeCell ref="A17:A21"/>
    <mergeCell ref="B17:B21"/>
    <mergeCell ref="C17:C21"/>
    <mergeCell ref="A22:A26"/>
    <mergeCell ref="B22:B26"/>
  </mergeCells>
  <pageMargins left="0.51181102362204722" right="0.31496062992125984" top="0.55118110236220474" bottom="0.19685039370078741" header="0" footer="0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tabSelected="1" topLeftCell="A102" zoomScaleSheetLayoutView="100" workbookViewId="0">
      <selection activeCell="A2" sqref="A2"/>
    </sheetView>
  </sheetViews>
  <sheetFormatPr defaultRowHeight="15" x14ac:dyDescent="0.2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style="52" customWidth="1"/>
    <col min="8" max="8" width="13.7109375" style="52" customWidth="1"/>
    <col min="9" max="9" width="14.140625" customWidth="1"/>
    <col min="10" max="10" width="13.140625" customWidth="1"/>
    <col min="11" max="11" width="13.28515625" customWidth="1"/>
    <col min="12" max="12" width="11.7109375" bestFit="1" customWidth="1"/>
    <col min="13" max="13" width="10.28515625" bestFit="1" customWidth="1"/>
  </cols>
  <sheetData>
    <row r="1" spans="1:11" ht="11.25" customHeight="1" x14ac:dyDescent="0.25">
      <c r="I1" s="102" t="s">
        <v>82</v>
      </c>
      <c r="J1" s="103"/>
      <c r="K1" s="103"/>
    </row>
    <row r="2" spans="1:11" ht="12" customHeight="1" x14ac:dyDescent="0.25">
      <c r="I2" s="103"/>
      <c r="J2" s="103"/>
      <c r="K2" s="103"/>
    </row>
    <row r="3" spans="1:11" ht="11.25" customHeight="1" x14ac:dyDescent="0.25">
      <c r="I3" s="103"/>
      <c r="J3" s="103"/>
      <c r="K3" s="103"/>
    </row>
    <row r="4" spans="1:11" ht="16.5" customHeight="1" x14ac:dyDescent="0.25">
      <c r="I4" s="103"/>
      <c r="J4" s="103"/>
      <c r="K4" s="103"/>
    </row>
    <row r="5" spans="1:11" ht="19.5" customHeight="1" x14ac:dyDescent="0.25">
      <c r="B5" s="7"/>
      <c r="C5" s="7"/>
      <c r="D5" s="7"/>
      <c r="E5" s="7"/>
      <c r="F5" s="7"/>
      <c r="G5" s="53"/>
      <c r="H5" s="53"/>
      <c r="I5" s="104" t="s">
        <v>79</v>
      </c>
      <c r="J5" s="105"/>
      <c r="K5" s="105"/>
    </row>
    <row r="6" spans="1:11" x14ac:dyDescent="0.25">
      <c r="B6" s="4"/>
      <c r="C6" s="4"/>
      <c r="D6" s="4"/>
      <c r="E6" s="4"/>
      <c r="F6" s="4"/>
      <c r="G6" s="54"/>
      <c r="H6" s="54"/>
      <c r="I6" s="106" t="s">
        <v>72</v>
      </c>
      <c r="J6" s="105"/>
      <c r="K6" s="105"/>
    </row>
    <row r="7" spans="1:11" x14ac:dyDescent="0.25">
      <c r="B7" s="5"/>
      <c r="C7" s="13"/>
      <c r="D7" s="13"/>
      <c r="E7" s="13"/>
      <c r="F7" s="13"/>
      <c r="G7" s="55"/>
      <c r="H7" s="55"/>
      <c r="I7" s="106" t="s">
        <v>73</v>
      </c>
      <c r="J7" s="105"/>
      <c r="K7" s="105"/>
    </row>
    <row r="8" spans="1:11" x14ac:dyDescent="0.25">
      <c r="B8" s="5"/>
      <c r="C8" s="13"/>
      <c r="D8" s="13"/>
      <c r="E8" s="13"/>
      <c r="F8" s="13"/>
      <c r="G8" s="55"/>
      <c r="H8" s="55"/>
      <c r="I8" s="33"/>
      <c r="J8" s="32"/>
      <c r="K8" s="33"/>
    </row>
    <row r="9" spans="1:11" x14ac:dyDescent="0.25">
      <c r="A9" s="61" t="s">
        <v>14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 x14ac:dyDescent="0.25">
      <c r="A10" s="61" t="s">
        <v>15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pans="1:11" x14ac:dyDescent="0.25">
      <c r="A11" s="17"/>
      <c r="B11" s="18"/>
      <c r="C11" s="18"/>
      <c r="D11" s="18"/>
      <c r="E11" s="18"/>
      <c r="F11" s="18"/>
      <c r="G11" s="30"/>
      <c r="H11" s="30"/>
      <c r="I11" s="22"/>
      <c r="J11" s="22"/>
      <c r="K11" s="18"/>
    </row>
    <row r="12" spans="1:11" ht="12.75" customHeight="1" x14ac:dyDescent="0.25">
      <c r="A12" s="62" t="s">
        <v>7</v>
      </c>
      <c r="B12" s="62" t="s">
        <v>16</v>
      </c>
      <c r="C12" s="62" t="s">
        <v>17</v>
      </c>
      <c r="D12" s="62" t="s">
        <v>18</v>
      </c>
      <c r="E12" s="79" t="s">
        <v>19</v>
      </c>
      <c r="F12" s="79"/>
      <c r="G12" s="79"/>
      <c r="H12" s="79"/>
      <c r="I12" s="79"/>
      <c r="J12" s="79"/>
      <c r="K12" s="80"/>
    </row>
    <row r="13" spans="1:11" ht="10.5" customHeight="1" x14ac:dyDescent="0.25">
      <c r="A13" s="62"/>
      <c r="B13" s="62"/>
      <c r="C13" s="62"/>
      <c r="D13" s="62"/>
      <c r="E13" s="82"/>
      <c r="F13" s="82"/>
      <c r="G13" s="82"/>
      <c r="H13" s="82"/>
      <c r="I13" s="82"/>
      <c r="J13" s="82"/>
      <c r="K13" s="83"/>
    </row>
    <row r="14" spans="1:11" ht="21" customHeight="1" x14ac:dyDescent="0.25">
      <c r="A14" s="62"/>
      <c r="B14" s="62"/>
      <c r="C14" s="62"/>
      <c r="D14" s="62"/>
      <c r="E14" s="48" t="s">
        <v>65</v>
      </c>
      <c r="F14" s="48" t="s">
        <v>0</v>
      </c>
      <c r="G14" s="20" t="s">
        <v>3</v>
      </c>
      <c r="H14" s="20" t="s">
        <v>4</v>
      </c>
      <c r="I14" s="39" t="s">
        <v>5</v>
      </c>
      <c r="J14" s="39" t="s">
        <v>6</v>
      </c>
      <c r="K14" s="39" t="s">
        <v>20</v>
      </c>
    </row>
    <row r="15" spans="1:11" ht="12" customHeight="1" x14ac:dyDescent="0.25">
      <c r="A15" s="26">
        <v>1</v>
      </c>
      <c r="B15" s="26">
        <v>2</v>
      </c>
      <c r="C15" s="26">
        <v>3</v>
      </c>
      <c r="D15" s="26">
        <v>4</v>
      </c>
      <c r="E15" s="49">
        <v>5</v>
      </c>
      <c r="F15" s="49">
        <v>6</v>
      </c>
      <c r="G15" s="56">
        <v>7</v>
      </c>
      <c r="H15" s="56">
        <v>8</v>
      </c>
      <c r="I15" s="26">
        <v>9</v>
      </c>
      <c r="J15" s="26">
        <v>10</v>
      </c>
      <c r="K15" s="26">
        <v>11</v>
      </c>
    </row>
    <row r="16" spans="1:11" x14ac:dyDescent="0.25">
      <c r="A16" s="65">
        <v>1</v>
      </c>
      <c r="B16" s="66" t="s">
        <v>22</v>
      </c>
      <c r="C16" s="62" t="s">
        <v>23</v>
      </c>
      <c r="D16" s="39" t="s">
        <v>20</v>
      </c>
      <c r="E16" s="21">
        <f t="shared" ref="E16:G16" si="0">SUM(E17:E20)</f>
        <v>10628.499999999998</v>
      </c>
      <c r="F16" s="21">
        <f>SUM(F17:F20)</f>
        <v>13464.099999999999</v>
      </c>
      <c r="G16" s="21">
        <f t="shared" si="0"/>
        <v>16392.5</v>
      </c>
      <c r="H16" s="21">
        <f t="shared" ref="H16" si="1">SUM(H17:H20)</f>
        <v>21239.7</v>
      </c>
      <c r="I16" s="47">
        <f t="shared" ref="I16:J16" si="2">SUM(I17:I20)</f>
        <v>19055.3</v>
      </c>
      <c r="J16" s="47">
        <f t="shared" si="2"/>
        <v>19462.7</v>
      </c>
      <c r="K16" s="21">
        <f>K17+K18+K19+K20</f>
        <v>100242.8</v>
      </c>
    </row>
    <row r="17" spans="1:11" x14ac:dyDescent="0.25">
      <c r="A17" s="65"/>
      <c r="B17" s="66"/>
      <c r="C17" s="62"/>
      <c r="D17" s="3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 x14ac:dyDescent="0.25">
      <c r="A18" s="65"/>
      <c r="B18" s="66"/>
      <c r="C18" s="62"/>
      <c r="D18" s="39" t="s">
        <v>25</v>
      </c>
      <c r="E18" s="21">
        <v>2292.6999999999998</v>
      </c>
      <c r="F18" s="21">
        <f>1350+525.3</f>
        <v>1875.3</v>
      </c>
      <c r="G18" s="21">
        <f>1350+522.5</f>
        <v>1872.5</v>
      </c>
      <c r="H18" s="21">
        <f>2700+974.9</f>
        <v>3674.9</v>
      </c>
      <c r="I18" s="21">
        <v>2700</v>
      </c>
      <c r="J18" s="21">
        <v>2700</v>
      </c>
      <c r="K18" s="21">
        <f>SUM(E18:J18)</f>
        <v>15115.4</v>
      </c>
    </row>
    <row r="19" spans="1:11" x14ac:dyDescent="0.25">
      <c r="A19" s="65"/>
      <c r="B19" s="66"/>
      <c r="C19" s="62"/>
      <c r="D19" s="20" t="s">
        <v>26</v>
      </c>
      <c r="E19" s="21">
        <v>6606.4</v>
      </c>
      <c r="F19" s="21">
        <f>9373.1+150</f>
        <v>9523.1</v>
      </c>
      <c r="G19" s="21">
        <f>10620+150+850+1000</f>
        <v>12620</v>
      </c>
      <c r="H19" s="21">
        <f>15234.8+300</f>
        <v>15534.8</v>
      </c>
      <c r="I19" s="21">
        <f>13980.3+300</f>
        <v>14280.3</v>
      </c>
      <c r="J19" s="21">
        <f>14342.7+300</f>
        <v>14642.7</v>
      </c>
      <c r="K19" s="21">
        <f>SUM(E19:J19)</f>
        <v>73207.3</v>
      </c>
    </row>
    <row r="20" spans="1:11" x14ac:dyDescent="0.25">
      <c r="A20" s="65"/>
      <c r="B20" s="66"/>
      <c r="C20" s="62"/>
      <c r="D20" s="39" t="s">
        <v>27</v>
      </c>
      <c r="E20" s="21">
        <v>1729.4</v>
      </c>
      <c r="F20" s="21">
        <v>2065.6999999999998</v>
      </c>
      <c r="G20" s="21">
        <v>1900</v>
      </c>
      <c r="H20" s="21">
        <f>2100-70</f>
        <v>2030</v>
      </c>
      <c r="I20" s="21">
        <f>2150-75</f>
        <v>2075</v>
      </c>
      <c r="J20" s="21">
        <f>2200-J30</f>
        <v>2120</v>
      </c>
      <c r="K20" s="21">
        <f>SUM(E20:J20)</f>
        <v>11920.1</v>
      </c>
    </row>
    <row r="21" spans="1:11" x14ac:dyDescent="0.25">
      <c r="A21" s="67">
        <v>2</v>
      </c>
      <c r="B21" s="69" t="s">
        <v>29</v>
      </c>
      <c r="C21" s="71" t="s">
        <v>23</v>
      </c>
      <c r="D21" s="39" t="s">
        <v>20</v>
      </c>
      <c r="E21" s="21">
        <f t="shared" ref="E21:G21" si="3">SUM(E22:E25)</f>
        <v>71905.299999999988</v>
      </c>
      <c r="F21" s="21">
        <f t="shared" si="3"/>
        <v>73775.3</v>
      </c>
      <c r="G21" s="21">
        <f t="shared" si="3"/>
        <v>60728.2</v>
      </c>
      <c r="H21" s="21">
        <f t="shared" ref="H21" si="4">SUM(H22:H25)</f>
        <v>81222.5</v>
      </c>
      <c r="I21" s="21">
        <f t="shared" ref="I21:J21" si="5">SUM(I22:I25)</f>
        <v>63030.400000000001</v>
      </c>
      <c r="J21" s="21">
        <f t="shared" si="5"/>
        <v>63744.3</v>
      </c>
      <c r="K21" s="21">
        <f>K22+K23+K24+K25</f>
        <v>414406</v>
      </c>
    </row>
    <row r="22" spans="1:11" x14ac:dyDescent="0.25">
      <c r="A22" s="68"/>
      <c r="B22" s="70"/>
      <c r="C22" s="72"/>
      <c r="D22" s="3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 x14ac:dyDescent="0.25">
      <c r="A23" s="68"/>
      <c r="B23" s="70"/>
      <c r="C23" s="72"/>
      <c r="D23" s="39" t="s">
        <v>25</v>
      </c>
      <c r="E23" s="21">
        <v>0</v>
      </c>
      <c r="F23" s="21">
        <v>444.9</v>
      </c>
      <c r="G23" s="21">
        <v>698.8</v>
      </c>
      <c r="H23" s="21">
        <v>0</v>
      </c>
      <c r="I23" s="21">
        <v>0</v>
      </c>
      <c r="J23" s="21">
        <v>0</v>
      </c>
      <c r="K23" s="21">
        <f>SUM(E23:J23)</f>
        <v>1143.6999999999998</v>
      </c>
    </row>
    <row r="24" spans="1:11" x14ac:dyDescent="0.25">
      <c r="A24" s="68"/>
      <c r="B24" s="70"/>
      <c r="C24" s="72"/>
      <c r="D24" s="39" t="s">
        <v>26</v>
      </c>
      <c r="E24" s="21">
        <v>26585.599999999999</v>
      </c>
      <c r="F24" s="21">
        <v>20314.400000000001</v>
      </c>
      <c r="G24" s="21">
        <f>12259.1+723.3+87.3+409.7+50</f>
        <v>13529.4</v>
      </c>
      <c r="H24" s="21">
        <f>16324.7+797.8+18100</f>
        <v>35222.5</v>
      </c>
      <c r="I24" s="21">
        <v>16530.400000000001</v>
      </c>
      <c r="J24" s="21">
        <v>16744.3</v>
      </c>
      <c r="K24" s="21">
        <f>SUM(E24:J24)</f>
        <v>128926.59999999999</v>
      </c>
    </row>
    <row r="25" spans="1:11" x14ac:dyDescent="0.25">
      <c r="A25" s="68"/>
      <c r="B25" s="70"/>
      <c r="C25" s="73"/>
      <c r="D25" s="39" t="s">
        <v>27</v>
      </c>
      <c r="E25" s="21">
        <v>45319.7</v>
      </c>
      <c r="F25" s="21">
        <v>53016</v>
      </c>
      <c r="G25" s="21">
        <v>46500</v>
      </c>
      <c r="H25" s="21">
        <v>46000</v>
      </c>
      <c r="I25" s="21">
        <v>46500</v>
      </c>
      <c r="J25" s="21">
        <v>47000</v>
      </c>
      <c r="K25" s="21">
        <f>SUM(E25:J25)</f>
        <v>284335.7</v>
      </c>
    </row>
    <row r="26" spans="1:11" x14ac:dyDescent="0.25">
      <c r="A26" s="99">
        <v>3</v>
      </c>
      <c r="B26" s="75" t="s">
        <v>31</v>
      </c>
      <c r="C26" s="62" t="s">
        <v>23</v>
      </c>
      <c r="D26" s="20" t="s">
        <v>20</v>
      </c>
      <c r="E26" s="21">
        <f t="shared" ref="E26:H26" si="6">E27+E28+E29+E30</f>
        <v>5043.8999999999996</v>
      </c>
      <c r="F26" s="21">
        <f t="shared" si="6"/>
        <v>54976.752</v>
      </c>
      <c r="G26" s="21">
        <f t="shared" si="6"/>
        <v>8610.4</v>
      </c>
      <c r="H26" s="21">
        <f t="shared" si="6"/>
        <v>14400.26</v>
      </c>
      <c r="I26" s="21">
        <f t="shared" ref="I26:J26" si="7">I27+I28+I29+I30</f>
        <v>10040.9</v>
      </c>
      <c r="J26" s="21">
        <f t="shared" si="7"/>
        <v>10237.1</v>
      </c>
      <c r="K26" s="21">
        <f>K27+K28+K29+K30</f>
        <v>103309.31200000001</v>
      </c>
    </row>
    <row r="27" spans="1:11" x14ac:dyDescent="0.25">
      <c r="A27" s="100"/>
      <c r="B27" s="76"/>
      <c r="C27" s="62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 t="shared" ref="K27:K35" si="8">SUM(E27:J27)</f>
        <v>0</v>
      </c>
    </row>
    <row r="28" spans="1:11" x14ac:dyDescent="0.25">
      <c r="A28" s="100"/>
      <c r="B28" s="76"/>
      <c r="C28" s="62"/>
      <c r="D28" s="20" t="s">
        <v>25</v>
      </c>
      <c r="E28" s="21">
        <f>573.2</f>
        <v>573.20000000000005</v>
      </c>
      <c r="F28" s="21">
        <v>43858.9</v>
      </c>
      <c r="G28" s="21">
        <v>238.9</v>
      </c>
      <c r="H28" s="21">
        <v>3324.16</v>
      </c>
      <c r="I28" s="21">
        <v>2604</v>
      </c>
      <c r="J28" s="21">
        <v>2604</v>
      </c>
      <c r="K28" s="21">
        <f t="shared" si="8"/>
        <v>53203.16</v>
      </c>
    </row>
    <row r="29" spans="1:11" x14ac:dyDescent="0.25">
      <c r="A29" s="100"/>
      <c r="B29" s="76"/>
      <c r="C29" s="62"/>
      <c r="D29" s="20" t="s">
        <v>26</v>
      </c>
      <c r="E29" s="21">
        <v>4430.7</v>
      </c>
      <c r="F29" s="21">
        <f>2450+3749.9+368.4+4492.9</f>
        <v>11061.199999999999</v>
      </c>
      <c r="G29" s="21">
        <f>5448.7+1627+1627+2238.8-3000+250+130</f>
        <v>8321.5</v>
      </c>
      <c r="H29" s="21">
        <v>11006.1</v>
      </c>
      <c r="I29" s="21">
        <v>7361.9</v>
      </c>
      <c r="J29" s="21">
        <v>7553.1</v>
      </c>
      <c r="K29" s="21">
        <f t="shared" si="8"/>
        <v>49734.5</v>
      </c>
    </row>
    <row r="30" spans="1:11" x14ac:dyDescent="0.25">
      <c r="A30" s="100"/>
      <c r="B30" s="76"/>
      <c r="C30" s="62"/>
      <c r="D30" s="20" t="s">
        <v>27</v>
      </c>
      <c r="E30" s="21">
        <v>40</v>
      </c>
      <c r="F30" s="21">
        <v>56.652000000000001</v>
      </c>
      <c r="G30" s="21">
        <v>50</v>
      </c>
      <c r="H30" s="21">
        <v>70</v>
      </c>
      <c r="I30" s="21">
        <v>75</v>
      </c>
      <c r="J30" s="21">
        <v>80</v>
      </c>
      <c r="K30" s="21">
        <f t="shared" si="8"/>
        <v>371.65199999999999</v>
      </c>
    </row>
    <row r="31" spans="1:11" x14ac:dyDescent="0.25">
      <c r="A31" s="100"/>
      <c r="B31" s="76"/>
      <c r="C31" s="71" t="s">
        <v>75</v>
      </c>
      <c r="D31" s="20" t="s">
        <v>20</v>
      </c>
      <c r="E31" s="21">
        <f>E32+E33+E34+E35</f>
        <v>0</v>
      </c>
      <c r="F31" s="21">
        <f>F33+F34</f>
        <v>66183</v>
      </c>
      <c r="G31" s="21">
        <f t="shared" ref="G31" si="9">G33+G34</f>
        <v>0</v>
      </c>
      <c r="H31" s="21">
        <f t="shared" ref="H31" si="10">H32+H33+H34+H35</f>
        <v>0</v>
      </c>
      <c r="I31" s="21">
        <f t="shared" ref="I31:J31" si="11">I32+I33+I34+I35</f>
        <v>0</v>
      </c>
      <c r="J31" s="21">
        <f t="shared" si="11"/>
        <v>0</v>
      </c>
      <c r="K31" s="21">
        <f t="shared" si="8"/>
        <v>66183</v>
      </c>
    </row>
    <row r="32" spans="1:11" x14ac:dyDescent="0.25">
      <c r="A32" s="100"/>
      <c r="B32" s="76"/>
      <c r="C32" s="72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 t="shared" si="8"/>
        <v>0</v>
      </c>
    </row>
    <row r="33" spans="1:11" x14ac:dyDescent="0.25">
      <c r="A33" s="100"/>
      <c r="B33" s="76"/>
      <c r="C33" s="72"/>
      <c r="D33" s="20" t="s">
        <v>25</v>
      </c>
      <c r="E33" s="21">
        <v>0</v>
      </c>
      <c r="F33" s="21">
        <v>59564.7</v>
      </c>
      <c r="G33" s="21">
        <v>0</v>
      </c>
      <c r="H33" s="21">
        <v>0</v>
      </c>
      <c r="I33" s="21">
        <v>0</v>
      </c>
      <c r="J33" s="21">
        <v>0</v>
      </c>
      <c r="K33" s="21">
        <f t="shared" si="8"/>
        <v>59564.7</v>
      </c>
    </row>
    <row r="34" spans="1:11" x14ac:dyDescent="0.25">
      <c r="A34" s="100"/>
      <c r="B34" s="76"/>
      <c r="C34" s="72"/>
      <c r="D34" s="20" t="s">
        <v>26</v>
      </c>
      <c r="E34" s="21">
        <v>0</v>
      </c>
      <c r="F34" s="21">
        <v>6618.3</v>
      </c>
      <c r="G34" s="21">
        <v>0</v>
      </c>
      <c r="H34" s="21">
        <v>0</v>
      </c>
      <c r="I34" s="21">
        <v>0</v>
      </c>
      <c r="J34" s="21">
        <v>0</v>
      </c>
      <c r="K34" s="21">
        <f t="shared" si="8"/>
        <v>6618.3</v>
      </c>
    </row>
    <row r="35" spans="1:11" x14ac:dyDescent="0.25">
      <c r="A35" s="100"/>
      <c r="B35" s="76"/>
      <c r="C35" s="73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 t="shared" si="8"/>
        <v>0</v>
      </c>
    </row>
    <row r="36" spans="1:11" x14ac:dyDescent="0.25">
      <c r="A36" s="100"/>
      <c r="B36" s="76"/>
      <c r="C36" s="62" t="s">
        <v>68</v>
      </c>
      <c r="D36" s="20" t="s">
        <v>20</v>
      </c>
      <c r="E36" s="21">
        <f t="shared" ref="E36:H36" si="12">E37+E38+E39+E40</f>
        <v>1100</v>
      </c>
      <c r="F36" s="21">
        <f t="shared" si="12"/>
        <v>3254</v>
      </c>
      <c r="G36" s="21">
        <f t="shared" si="12"/>
        <v>0</v>
      </c>
      <c r="H36" s="21">
        <f t="shared" si="12"/>
        <v>0</v>
      </c>
      <c r="I36" s="21">
        <f t="shared" ref="I36:J36" si="13">I37+I38+I39+I40</f>
        <v>0</v>
      </c>
      <c r="J36" s="21">
        <f t="shared" si="13"/>
        <v>0</v>
      </c>
      <c r="K36" s="21">
        <f>K37+K38+K39+K40</f>
        <v>4354</v>
      </c>
    </row>
    <row r="37" spans="1:11" x14ac:dyDescent="0.25">
      <c r="A37" s="100"/>
      <c r="B37" s="76"/>
      <c r="C37" s="62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f>SUM(E37:J37)</f>
        <v>0</v>
      </c>
    </row>
    <row r="38" spans="1:11" x14ac:dyDescent="0.25">
      <c r="A38" s="100"/>
      <c r="B38" s="76"/>
      <c r="C38" s="62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 x14ac:dyDescent="0.25">
      <c r="A39" s="100"/>
      <c r="B39" s="76"/>
      <c r="C39" s="62"/>
      <c r="D39" s="20" t="s">
        <v>26</v>
      </c>
      <c r="E39" s="21">
        <v>1100</v>
      </c>
      <c r="F39" s="21">
        <v>3254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4354</v>
      </c>
    </row>
    <row r="40" spans="1:11" x14ac:dyDescent="0.25">
      <c r="A40" s="100"/>
      <c r="B40" s="76"/>
      <c r="C40" s="62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SUM(E40:J40)</f>
        <v>0</v>
      </c>
    </row>
    <row r="41" spans="1:11" x14ac:dyDescent="0.25">
      <c r="A41" s="100"/>
      <c r="B41" s="76"/>
      <c r="C41" s="71" t="s">
        <v>37</v>
      </c>
      <c r="D41" s="42" t="s">
        <v>20</v>
      </c>
      <c r="E41" s="21">
        <f t="shared" ref="E41:H45" si="14">E26+E36+E31</f>
        <v>6143.9</v>
      </c>
      <c r="F41" s="21">
        <f t="shared" si="14"/>
        <v>124413.75200000001</v>
      </c>
      <c r="G41" s="21">
        <f t="shared" si="14"/>
        <v>8610.4</v>
      </c>
      <c r="H41" s="21">
        <f t="shared" si="14"/>
        <v>14400.26</v>
      </c>
      <c r="I41" s="21">
        <f t="shared" ref="I41:J41" si="15">I26+I36+I31</f>
        <v>10040.9</v>
      </c>
      <c r="J41" s="21">
        <f t="shared" si="15"/>
        <v>10237.1</v>
      </c>
      <c r="K41" s="47">
        <f t="shared" ref="K41" si="16">K26+K36+K31</f>
        <v>173846.31200000001</v>
      </c>
    </row>
    <row r="42" spans="1:11" x14ac:dyDescent="0.25">
      <c r="A42" s="100"/>
      <c r="B42" s="76"/>
      <c r="C42" s="72"/>
      <c r="D42" s="42" t="s">
        <v>24</v>
      </c>
      <c r="E42" s="21">
        <f>E27+E37+E32</f>
        <v>0</v>
      </c>
      <c r="F42" s="21">
        <f t="shared" si="14"/>
        <v>0</v>
      </c>
      <c r="G42" s="21">
        <f t="shared" si="14"/>
        <v>0</v>
      </c>
      <c r="H42" s="21">
        <f t="shared" si="14"/>
        <v>0</v>
      </c>
      <c r="I42" s="21">
        <f t="shared" ref="I42:J42" si="17">I27+I37+I32</f>
        <v>0</v>
      </c>
      <c r="J42" s="21">
        <f t="shared" si="17"/>
        <v>0</v>
      </c>
      <c r="K42" s="47">
        <f t="shared" ref="K42" si="18">K27+K37+K32</f>
        <v>0</v>
      </c>
    </row>
    <row r="43" spans="1:11" x14ac:dyDescent="0.25">
      <c r="A43" s="100"/>
      <c r="B43" s="76"/>
      <c r="C43" s="72"/>
      <c r="D43" s="42" t="s">
        <v>25</v>
      </c>
      <c r="E43" s="21">
        <f>E28+E38+E33</f>
        <v>573.20000000000005</v>
      </c>
      <c r="F43" s="21">
        <f>F28+F38+F33</f>
        <v>103423.6</v>
      </c>
      <c r="G43" s="21">
        <f t="shared" si="14"/>
        <v>238.9</v>
      </c>
      <c r="H43" s="21">
        <f t="shared" si="14"/>
        <v>3324.16</v>
      </c>
      <c r="I43" s="21">
        <f t="shared" ref="I43:J43" si="19">I28+I38+I33</f>
        <v>2604</v>
      </c>
      <c r="J43" s="21">
        <f t="shared" si="19"/>
        <v>2604</v>
      </c>
      <c r="K43" s="47">
        <f t="shared" ref="K43" si="20">K28+K38+K33</f>
        <v>112767.86</v>
      </c>
    </row>
    <row r="44" spans="1:11" x14ac:dyDescent="0.25">
      <c r="A44" s="100"/>
      <c r="B44" s="76"/>
      <c r="C44" s="72"/>
      <c r="D44" s="42" t="s">
        <v>26</v>
      </c>
      <c r="E44" s="21">
        <f>E29++E34+E39</f>
        <v>5530.7</v>
      </c>
      <c r="F44" s="21">
        <f>F29++F34+F39</f>
        <v>20933.5</v>
      </c>
      <c r="G44" s="21">
        <f>G29++G34+G39</f>
        <v>8321.5</v>
      </c>
      <c r="H44" s="21">
        <f t="shared" si="14"/>
        <v>11006.1</v>
      </c>
      <c r="I44" s="21">
        <f t="shared" ref="I44:J44" si="21">I29+I39+I34</f>
        <v>7361.9</v>
      </c>
      <c r="J44" s="21">
        <f t="shared" si="21"/>
        <v>7553.1</v>
      </c>
      <c r="K44" s="47">
        <f t="shared" ref="K44" si="22">K29+K39+K34</f>
        <v>60706.8</v>
      </c>
    </row>
    <row r="45" spans="1:11" x14ac:dyDescent="0.25">
      <c r="A45" s="101"/>
      <c r="B45" s="77"/>
      <c r="C45" s="73"/>
      <c r="D45" s="42" t="s">
        <v>27</v>
      </c>
      <c r="E45" s="21">
        <f>E30+E40+E35</f>
        <v>40</v>
      </c>
      <c r="F45" s="21">
        <f t="shared" ref="F45:G45" si="23">F30+F40+F35</f>
        <v>56.652000000000001</v>
      </c>
      <c r="G45" s="21">
        <f t="shared" si="23"/>
        <v>50</v>
      </c>
      <c r="H45" s="21">
        <f t="shared" si="14"/>
        <v>70</v>
      </c>
      <c r="I45" s="21">
        <f t="shared" ref="I45:J45" si="24">I30+I40+I35</f>
        <v>75</v>
      </c>
      <c r="J45" s="21">
        <f t="shared" si="24"/>
        <v>80</v>
      </c>
      <c r="K45" s="47">
        <f t="shared" ref="K45" si="25">K30+K40+K35</f>
        <v>371.65199999999999</v>
      </c>
    </row>
    <row r="46" spans="1:11" x14ac:dyDescent="0.25">
      <c r="A46" s="74" t="s">
        <v>56</v>
      </c>
      <c r="B46" s="64" t="s">
        <v>78</v>
      </c>
      <c r="C46" s="62" t="s">
        <v>23</v>
      </c>
      <c r="D46" s="20" t="s">
        <v>20</v>
      </c>
      <c r="E46" s="21">
        <f t="shared" ref="E46:H46" si="26">E47+E48+E49+E50</f>
        <v>3769.5</v>
      </c>
      <c r="F46" s="21">
        <f t="shared" si="26"/>
        <v>4846.5</v>
      </c>
      <c r="G46" s="21">
        <f t="shared" si="26"/>
        <v>11683.2</v>
      </c>
      <c r="H46" s="21">
        <f t="shared" si="26"/>
        <v>12395.9</v>
      </c>
      <c r="I46" s="21">
        <f t="shared" ref="I46:J46" si="27">I47+I48+I49+I50</f>
        <v>12395.9</v>
      </c>
      <c r="J46" s="21">
        <f t="shared" si="27"/>
        <v>12395.9</v>
      </c>
      <c r="K46" s="21">
        <f>K47+K48+K49+K50</f>
        <v>57486.9</v>
      </c>
    </row>
    <row r="47" spans="1:11" x14ac:dyDescent="0.25">
      <c r="A47" s="74"/>
      <c r="B47" s="64"/>
      <c r="C47" s="62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 x14ac:dyDescent="0.25">
      <c r="A48" s="74"/>
      <c r="B48" s="64"/>
      <c r="C48" s="62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 x14ac:dyDescent="0.25">
      <c r="A49" s="74"/>
      <c r="B49" s="64"/>
      <c r="C49" s="62"/>
      <c r="D49" s="20" t="s">
        <v>26</v>
      </c>
      <c r="E49" s="21">
        <v>3769.5</v>
      </c>
      <c r="F49" s="21">
        <v>4846.5</v>
      </c>
      <c r="G49" s="21">
        <v>11683.2</v>
      </c>
      <c r="H49" s="21">
        <v>12395.9</v>
      </c>
      <c r="I49" s="21">
        <v>12395.9</v>
      </c>
      <c r="J49" s="21">
        <v>12395.9</v>
      </c>
      <c r="K49" s="21">
        <f>SUM(E49:J49)</f>
        <v>57486.9</v>
      </c>
    </row>
    <row r="50" spans="1:11" x14ac:dyDescent="0.25">
      <c r="A50" s="74"/>
      <c r="B50" s="64"/>
      <c r="C50" s="62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 x14ac:dyDescent="0.25">
      <c r="A51" s="74" t="s">
        <v>57</v>
      </c>
      <c r="B51" s="64" t="s">
        <v>62</v>
      </c>
      <c r="C51" s="62" t="s">
        <v>23</v>
      </c>
      <c r="D51" s="20" t="s">
        <v>20</v>
      </c>
      <c r="E51" s="21">
        <f t="shared" ref="E51:G51" si="28">E54+E55</f>
        <v>748.2</v>
      </c>
      <c r="F51" s="21">
        <f t="shared" si="28"/>
        <v>3255</v>
      </c>
      <c r="G51" s="21">
        <f t="shared" si="28"/>
        <v>3500</v>
      </c>
      <c r="H51" s="21">
        <f t="shared" ref="H51" si="29">H52+H53+H54+H55</f>
        <v>4250</v>
      </c>
      <c r="I51" s="21">
        <f t="shared" ref="I51:J51" si="30">I52+I53+I54+I55</f>
        <v>3500</v>
      </c>
      <c r="J51" s="21">
        <f t="shared" si="30"/>
        <v>3500</v>
      </c>
      <c r="K51" s="21">
        <f>SUM(E51:J51)</f>
        <v>18753.2</v>
      </c>
    </row>
    <row r="52" spans="1:11" x14ac:dyDescent="0.25">
      <c r="A52" s="74"/>
      <c r="B52" s="64"/>
      <c r="C52" s="62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 t="shared" ref="K52:K55" si="31">SUM(E52:J52)</f>
        <v>0</v>
      </c>
    </row>
    <row r="53" spans="1:11" x14ac:dyDescent="0.25">
      <c r="A53" s="74"/>
      <c r="B53" s="64"/>
      <c r="C53" s="62"/>
      <c r="D53" s="20" t="s">
        <v>25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si="31"/>
        <v>0</v>
      </c>
    </row>
    <row r="54" spans="1:11" x14ac:dyDescent="0.25">
      <c r="A54" s="74"/>
      <c r="B54" s="64"/>
      <c r="C54" s="62"/>
      <c r="D54" s="20" t="s">
        <v>26</v>
      </c>
      <c r="E54" s="21">
        <v>748.2</v>
      </c>
      <c r="F54" s="21">
        <v>3255</v>
      </c>
      <c r="G54" s="21">
        <v>3500</v>
      </c>
      <c r="H54" s="21">
        <v>4250</v>
      </c>
      <c r="I54" s="21">
        <v>3500</v>
      </c>
      <c r="J54" s="21">
        <v>3500</v>
      </c>
      <c r="K54" s="21">
        <f t="shared" si="31"/>
        <v>18753.2</v>
      </c>
    </row>
    <row r="55" spans="1:11" x14ac:dyDescent="0.25">
      <c r="A55" s="74"/>
      <c r="B55" s="64"/>
      <c r="C55" s="62"/>
      <c r="D55" s="20" t="s">
        <v>27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31"/>
        <v>0</v>
      </c>
    </row>
    <row r="56" spans="1:11" x14ac:dyDescent="0.25">
      <c r="A56" s="74" t="s">
        <v>58</v>
      </c>
      <c r="B56" s="64" t="s">
        <v>34</v>
      </c>
      <c r="C56" s="62" t="s">
        <v>23</v>
      </c>
      <c r="D56" s="20" t="s">
        <v>20</v>
      </c>
      <c r="E56" s="21">
        <f t="shared" ref="E56:H56" si="32">E57+E58+E59+E60</f>
        <v>29038</v>
      </c>
      <c r="F56" s="21">
        <f t="shared" si="32"/>
        <v>31598.400000000001</v>
      </c>
      <c r="G56" s="21">
        <f t="shared" si="32"/>
        <v>45000</v>
      </c>
      <c r="H56" s="21">
        <f t="shared" si="32"/>
        <v>70968.800000000003</v>
      </c>
      <c r="I56" s="21">
        <f t="shared" ref="I56:J56" si="33">I57+I58+I59+I60</f>
        <v>24000</v>
      </c>
      <c r="J56" s="21">
        <f t="shared" si="33"/>
        <v>29000</v>
      </c>
      <c r="K56" s="21">
        <f>K57+K58+K59+K60</f>
        <v>229605.2</v>
      </c>
    </row>
    <row r="57" spans="1:11" x14ac:dyDescent="0.25">
      <c r="A57" s="74"/>
      <c r="B57" s="64"/>
      <c r="C57" s="62"/>
      <c r="D57" s="20" t="s">
        <v>24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f>SUM(E57:J57)</f>
        <v>0</v>
      </c>
    </row>
    <row r="58" spans="1:11" x14ac:dyDescent="0.25">
      <c r="A58" s="74"/>
      <c r="B58" s="64"/>
      <c r="C58" s="62"/>
      <c r="D58" s="20" t="s">
        <v>25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f>SUM(E58:J58)</f>
        <v>0</v>
      </c>
    </row>
    <row r="59" spans="1:11" x14ac:dyDescent="0.25">
      <c r="A59" s="74"/>
      <c r="B59" s="64"/>
      <c r="C59" s="62"/>
      <c r="D59" s="20" t="s">
        <v>26</v>
      </c>
      <c r="E59" s="21">
        <v>29038</v>
      </c>
      <c r="F59" s="21">
        <f>26000+5598.4</f>
        <v>31598.400000000001</v>
      </c>
      <c r="G59" s="21">
        <f>29000+7000+5000+4000</f>
        <v>45000</v>
      </c>
      <c r="H59" s="21">
        <f>70968.8</f>
        <v>70968.800000000003</v>
      </c>
      <c r="I59" s="21">
        <f>29000-5000</f>
        <v>24000</v>
      </c>
      <c r="J59" s="21">
        <v>29000</v>
      </c>
      <c r="K59" s="21">
        <f>SUM(E59:J59)</f>
        <v>229605.2</v>
      </c>
    </row>
    <row r="60" spans="1:11" x14ac:dyDescent="0.25">
      <c r="A60" s="74"/>
      <c r="B60" s="64"/>
      <c r="C60" s="62"/>
      <c r="D60" s="20" t="s">
        <v>27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f>SUM(E60:J60)</f>
        <v>0</v>
      </c>
    </row>
    <row r="61" spans="1:11" x14ac:dyDescent="0.25">
      <c r="A61" s="74" t="s">
        <v>59</v>
      </c>
      <c r="B61" s="64" t="s">
        <v>77</v>
      </c>
      <c r="C61" s="62" t="s">
        <v>23</v>
      </c>
      <c r="D61" s="20" t="s">
        <v>20</v>
      </c>
      <c r="E61" s="21">
        <f t="shared" ref="E61:H61" si="34">E62+E63+E64+E65</f>
        <v>1800</v>
      </c>
      <c r="F61" s="21">
        <f t="shared" si="34"/>
        <v>1800</v>
      </c>
      <c r="G61" s="21">
        <f t="shared" si="34"/>
        <v>1800</v>
      </c>
      <c r="H61" s="21">
        <f t="shared" si="34"/>
        <v>1800</v>
      </c>
      <c r="I61" s="21">
        <f t="shared" ref="I61:J61" si="35">I62+I63+I64+I65</f>
        <v>1800</v>
      </c>
      <c r="J61" s="21">
        <f t="shared" si="35"/>
        <v>1800</v>
      </c>
      <c r="K61" s="21">
        <f>K62+K63+K64+K65</f>
        <v>10800</v>
      </c>
    </row>
    <row r="62" spans="1:11" x14ac:dyDescent="0.25">
      <c r="A62" s="74"/>
      <c r="B62" s="64"/>
      <c r="C62" s="62"/>
      <c r="D62" s="20" t="s">
        <v>24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f>SUM(E62:J62)</f>
        <v>0</v>
      </c>
    </row>
    <row r="63" spans="1:11" x14ac:dyDescent="0.25">
      <c r="A63" s="74"/>
      <c r="B63" s="64"/>
      <c r="C63" s="62"/>
      <c r="D63" s="20" t="s">
        <v>25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f t="shared" ref="K63:K65" si="36">SUM(E63:J63)</f>
        <v>0</v>
      </c>
    </row>
    <row r="64" spans="1:11" x14ac:dyDescent="0.25">
      <c r="A64" s="74"/>
      <c r="B64" s="64"/>
      <c r="C64" s="62"/>
      <c r="D64" s="20" t="s">
        <v>26</v>
      </c>
      <c r="E64" s="21">
        <v>1800</v>
      </c>
      <c r="F64" s="21">
        <v>1800</v>
      </c>
      <c r="G64" s="21">
        <v>1800</v>
      </c>
      <c r="H64" s="21">
        <v>1800</v>
      </c>
      <c r="I64" s="21">
        <v>1800</v>
      </c>
      <c r="J64" s="21">
        <v>1800</v>
      </c>
      <c r="K64" s="21">
        <f t="shared" si="36"/>
        <v>10800</v>
      </c>
    </row>
    <row r="65" spans="1:11" x14ac:dyDescent="0.25">
      <c r="A65" s="74"/>
      <c r="B65" s="64"/>
      <c r="C65" s="62"/>
      <c r="D65" s="20" t="s">
        <v>27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f t="shared" si="36"/>
        <v>0</v>
      </c>
    </row>
    <row r="66" spans="1:11" ht="15" customHeight="1" x14ac:dyDescent="0.25">
      <c r="A66" s="85" t="s">
        <v>60</v>
      </c>
      <c r="B66" s="75" t="s">
        <v>63</v>
      </c>
      <c r="C66" s="71" t="s">
        <v>23</v>
      </c>
      <c r="D66" s="20" t="s">
        <v>20</v>
      </c>
      <c r="E66" s="21">
        <f t="shared" ref="E66:H66" si="37">E67+E68+E69+E70</f>
        <v>66619</v>
      </c>
      <c r="F66" s="21">
        <f t="shared" si="37"/>
        <v>107305.79999999999</v>
      </c>
      <c r="G66" s="21">
        <f t="shared" si="37"/>
        <v>85137</v>
      </c>
      <c r="H66" s="21">
        <f t="shared" si="37"/>
        <v>0</v>
      </c>
      <c r="I66" s="21">
        <f t="shared" ref="I66:J66" si="38">I67+I68+I69+I70</f>
        <v>0</v>
      </c>
      <c r="J66" s="21">
        <f t="shared" si="38"/>
        <v>0</v>
      </c>
      <c r="K66" s="21">
        <f>K67+K68+K69+K70</f>
        <v>259061.8</v>
      </c>
    </row>
    <row r="67" spans="1:11" x14ac:dyDescent="0.25">
      <c r="A67" s="86"/>
      <c r="B67" s="76"/>
      <c r="C67" s="72"/>
      <c r="D67" s="20" t="s">
        <v>24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f>SUM(E67:J67)</f>
        <v>0</v>
      </c>
    </row>
    <row r="68" spans="1:11" x14ac:dyDescent="0.25">
      <c r="A68" s="86"/>
      <c r="B68" s="76"/>
      <c r="C68" s="72"/>
      <c r="D68" s="20" t="s">
        <v>25</v>
      </c>
      <c r="E68" s="21">
        <f>12598+0.1</f>
        <v>12598.1</v>
      </c>
      <c r="F68" s="21">
        <v>9327.7999999999993</v>
      </c>
      <c r="G68" s="21">
        <v>3221.4</v>
      </c>
      <c r="H68" s="21">
        <v>0</v>
      </c>
      <c r="I68" s="21">
        <v>0</v>
      </c>
      <c r="J68" s="21">
        <f>I68</f>
        <v>0</v>
      </c>
      <c r="K68" s="21">
        <f t="shared" ref="K68:K70" si="39">SUM(E68:J68)</f>
        <v>25147.300000000003</v>
      </c>
    </row>
    <row r="69" spans="1:11" x14ac:dyDescent="0.25">
      <c r="A69" s="86"/>
      <c r="B69" s="76"/>
      <c r="C69" s="72"/>
      <c r="D69" s="20" t="s">
        <v>26</v>
      </c>
      <c r="E69" s="21">
        <v>40648.5</v>
      </c>
      <c r="F69" s="21">
        <v>80244.899999999994</v>
      </c>
      <c r="G69" s="21">
        <f>55737.8+789.7+430+1309.7+2712.3+631.1</f>
        <v>61610.6</v>
      </c>
      <c r="H69" s="21">
        <v>0</v>
      </c>
      <c r="I69" s="21">
        <v>0</v>
      </c>
      <c r="J69" s="21">
        <v>0</v>
      </c>
      <c r="K69" s="21">
        <f t="shared" si="39"/>
        <v>182504</v>
      </c>
    </row>
    <row r="70" spans="1:11" x14ac:dyDescent="0.25">
      <c r="A70" s="86"/>
      <c r="B70" s="76"/>
      <c r="C70" s="73"/>
      <c r="D70" s="20" t="s">
        <v>27</v>
      </c>
      <c r="E70" s="21">
        <v>13372.4</v>
      </c>
      <c r="F70" s="21">
        <v>17733.099999999999</v>
      </c>
      <c r="G70" s="21">
        <v>20305</v>
      </c>
      <c r="H70" s="21">
        <v>0</v>
      </c>
      <c r="I70" s="21">
        <v>0</v>
      </c>
      <c r="J70" s="21">
        <v>0</v>
      </c>
      <c r="K70" s="21">
        <f t="shared" si="39"/>
        <v>51410.5</v>
      </c>
    </row>
    <row r="71" spans="1:11" ht="15" customHeight="1" x14ac:dyDescent="0.25">
      <c r="A71" s="86"/>
      <c r="B71" s="76"/>
      <c r="C71" s="71" t="s">
        <v>68</v>
      </c>
      <c r="D71" s="20" t="s">
        <v>20</v>
      </c>
      <c r="E71" s="21">
        <f t="shared" ref="E71:H71" si="40">E72+E73+E74+E75</f>
        <v>2500</v>
      </c>
      <c r="F71" s="21">
        <f t="shared" si="40"/>
        <v>2500</v>
      </c>
      <c r="G71" s="21">
        <f t="shared" si="40"/>
        <v>2500</v>
      </c>
      <c r="H71" s="21">
        <f t="shared" si="40"/>
        <v>0</v>
      </c>
      <c r="I71" s="21">
        <f t="shared" ref="I71:J71" si="41">I72+I73+I74+I75</f>
        <v>0</v>
      </c>
      <c r="J71" s="21">
        <f t="shared" si="41"/>
        <v>0</v>
      </c>
      <c r="K71" s="21">
        <f>K72+K73+K74+K75</f>
        <v>7500</v>
      </c>
    </row>
    <row r="72" spans="1:11" x14ac:dyDescent="0.25">
      <c r="A72" s="86"/>
      <c r="B72" s="76"/>
      <c r="C72" s="72"/>
      <c r="D72" s="20" t="s">
        <v>24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f>SUM(E72:J72)</f>
        <v>0</v>
      </c>
    </row>
    <row r="73" spans="1:11" x14ac:dyDescent="0.25">
      <c r="A73" s="86"/>
      <c r="B73" s="76"/>
      <c r="C73" s="72"/>
      <c r="D73" s="20" t="s">
        <v>25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f t="shared" ref="K73:K75" si="42">SUM(E73:J73)</f>
        <v>0</v>
      </c>
    </row>
    <row r="74" spans="1:11" x14ac:dyDescent="0.25">
      <c r="A74" s="86"/>
      <c r="B74" s="76"/>
      <c r="C74" s="72"/>
      <c r="D74" s="20" t="s">
        <v>26</v>
      </c>
      <c r="E74" s="21">
        <v>2500</v>
      </c>
      <c r="F74" s="21">
        <v>2500</v>
      </c>
      <c r="G74" s="21">
        <v>2500</v>
      </c>
      <c r="H74" s="21">
        <v>0</v>
      </c>
      <c r="I74" s="21">
        <v>0</v>
      </c>
      <c r="J74" s="21">
        <v>0</v>
      </c>
      <c r="K74" s="21">
        <f t="shared" si="42"/>
        <v>7500</v>
      </c>
    </row>
    <row r="75" spans="1:11" x14ac:dyDescent="0.25">
      <c r="A75" s="86"/>
      <c r="B75" s="76"/>
      <c r="C75" s="73"/>
      <c r="D75" s="20" t="s">
        <v>27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f t="shared" si="42"/>
        <v>0</v>
      </c>
    </row>
    <row r="76" spans="1:11" ht="15" customHeight="1" x14ac:dyDescent="0.25">
      <c r="A76" s="86"/>
      <c r="B76" s="76"/>
      <c r="C76" s="71" t="s">
        <v>37</v>
      </c>
      <c r="D76" s="20" t="s">
        <v>20</v>
      </c>
      <c r="E76" s="21">
        <f>E66+E71</f>
        <v>69119</v>
      </c>
      <c r="F76" s="21">
        <f t="shared" ref="F76:H80" si="43">F66+F71</f>
        <v>109805.79999999999</v>
      </c>
      <c r="G76" s="21">
        <f t="shared" si="43"/>
        <v>87637</v>
      </c>
      <c r="H76" s="21">
        <f t="shared" si="43"/>
        <v>0</v>
      </c>
      <c r="I76" s="21">
        <f t="shared" ref="I76:J76" si="44">I66+I71</f>
        <v>0</v>
      </c>
      <c r="J76" s="21">
        <f t="shared" si="44"/>
        <v>0</v>
      </c>
      <c r="K76" s="21">
        <f t="shared" ref="K76" si="45">K66+K71</f>
        <v>266561.8</v>
      </c>
    </row>
    <row r="77" spans="1:11" x14ac:dyDescent="0.25">
      <c r="A77" s="86"/>
      <c r="B77" s="76"/>
      <c r="C77" s="72"/>
      <c r="D77" s="20" t="s">
        <v>24</v>
      </c>
      <c r="E77" s="21">
        <f>E67+E72</f>
        <v>0</v>
      </c>
      <c r="F77" s="21">
        <f t="shared" si="43"/>
        <v>0</v>
      </c>
      <c r="G77" s="21">
        <f t="shared" si="43"/>
        <v>0</v>
      </c>
      <c r="H77" s="21">
        <f t="shared" si="43"/>
        <v>0</v>
      </c>
      <c r="I77" s="21">
        <f t="shared" ref="I77:K80" si="46">I67+I72</f>
        <v>0</v>
      </c>
      <c r="J77" s="21">
        <f t="shared" si="46"/>
        <v>0</v>
      </c>
      <c r="K77" s="21">
        <f t="shared" si="46"/>
        <v>0</v>
      </c>
    </row>
    <row r="78" spans="1:11" x14ac:dyDescent="0.25">
      <c r="A78" s="86"/>
      <c r="B78" s="76"/>
      <c r="C78" s="72"/>
      <c r="D78" s="20" t="s">
        <v>25</v>
      </c>
      <c r="E78" s="21">
        <f t="shared" ref="E78:G79" si="47">E68+E73</f>
        <v>12598.1</v>
      </c>
      <c r="F78" s="21">
        <f t="shared" si="47"/>
        <v>9327.7999999999993</v>
      </c>
      <c r="G78" s="21">
        <f t="shared" si="47"/>
        <v>3221.4</v>
      </c>
      <c r="H78" s="21">
        <f t="shared" si="43"/>
        <v>0</v>
      </c>
      <c r="I78" s="21">
        <f t="shared" si="46"/>
        <v>0</v>
      </c>
      <c r="J78" s="21">
        <f t="shared" si="46"/>
        <v>0</v>
      </c>
      <c r="K78" s="21">
        <f t="shared" si="46"/>
        <v>25147.300000000003</v>
      </c>
    </row>
    <row r="79" spans="1:11" x14ac:dyDescent="0.25">
      <c r="A79" s="86"/>
      <c r="B79" s="76"/>
      <c r="C79" s="72"/>
      <c r="D79" s="20" t="s">
        <v>26</v>
      </c>
      <c r="E79" s="21">
        <f>E69+E74</f>
        <v>43148.5</v>
      </c>
      <c r="F79" s="21">
        <f>F69+F74</f>
        <v>82744.899999999994</v>
      </c>
      <c r="G79" s="21">
        <f t="shared" si="47"/>
        <v>64110.6</v>
      </c>
      <c r="H79" s="21">
        <f t="shared" si="43"/>
        <v>0</v>
      </c>
      <c r="I79" s="21">
        <f t="shared" si="46"/>
        <v>0</v>
      </c>
      <c r="J79" s="21">
        <f t="shared" si="46"/>
        <v>0</v>
      </c>
      <c r="K79" s="21">
        <f t="shared" si="46"/>
        <v>190004</v>
      </c>
    </row>
    <row r="80" spans="1:11" x14ac:dyDescent="0.25">
      <c r="A80" s="87"/>
      <c r="B80" s="77"/>
      <c r="C80" s="73"/>
      <c r="D80" s="20" t="s">
        <v>27</v>
      </c>
      <c r="E80" s="21">
        <f t="shared" ref="E80:G80" si="48">E70+E75</f>
        <v>13372.4</v>
      </c>
      <c r="F80" s="21">
        <f t="shared" si="48"/>
        <v>17733.099999999999</v>
      </c>
      <c r="G80" s="21">
        <f t="shared" si="48"/>
        <v>20305</v>
      </c>
      <c r="H80" s="21">
        <f t="shared" si="43"/>
        <v>0</v>
      </c>
      <c r="I80" s="21">
        <f t="shared" si="46"/>
        <v>0</v>
      </c>
      <c r="J80" s="21">
        <f t="shared" si="46"/>
        <v>0</v>
      </c>
      <c r="K80" s="21">
        <f t="shared" si="46"/>
        <v>51410.5</v>
      </c>
    </row>
    <row r="81" spans="1:12" x14ac:dyDescent="0.25">
      <c r="A81" s="85" t="s">
        <v>61</v>
      </c>
      <c r="B81" s="75" t="s">
        <v>74</v>
      </c>
      <c r="C81" s="71" t="s">
        <v>23</v>
      </c>
      <c r="D81" s="20" t="s">
        <v>20</v>
      </c>
      <c r="E81" s="21">
        <f t="shared" ref="E81:H81" si="49">E82+E83+E84+E85</f>
        <v>23322.799999999999</v>
      </c>
      <c r="F81" s="21">
        <f t="shared" si="49"/>
        <v>17092.099999999999</v>
      </c>
      <c r="G81" s="21">
        <f t="shared" si="49"/>
        <v>18068.699999999997</v>
      </c>
      <c r="H81" s="21">
        <f t="shared" si="49"/>
        <v>10881.900000000001</v>
      </c>
      <c r="I81" s="21">
        <f t="shared" ref="I81:K81" si="50">I82+I83+I84+I85</f>
        <v>10881.900000000001</v>
      </c>
      <c r="J81" s="21">
        <f t="shared" si="50"/>
        <v>10881.900000000001</v>
      </c>
      <c r="K81" s="21">
        <f t="shared" si="50"/>
        <v>91129.3</v>
      </c>
      <c r="L81" s="23"/>
    </row>
    <row r="82" spans="1:12" x14ac:dyDescent="0.25">
      <c r="A82" s="86"/>
      <c r="B82" s="76"/>
      <c r="C82" s="72"/>
      <c r="D82" s="20" t="s">
        <v>24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f t="shared" ref="K82:K95" si="51">SUM(E82:J82)</f>
        <v>0</v>
      </c>
    </row>
    <row r="83" spans="1:12" x14ac:dyDescent="0.25">
      <c r="A83" s="86"/>
      <c r="B83" s="76"/>
      <c r="C83" s="72"/>
      <c r="D83" s="20" t="s">
        <v>25</v>
      </c>
      <c r="E83" s="21">
        <v>11661.4</v>
      </c>
      <c r="F83" s="21">
        <v>8546</v>
      </c>
      <c r="G83" s="21">
        <v>9034.2999999999993</v>
      </c>
      <c r="H83" s="21">
        <v>9793.7000000000007</v>
      </c>
      <c r="I83" s="21">
        <v>9793.7000000000007</v>
      </c>
      <c r="J83" s="21">
        <v>9793.7000000000007</v>
      </c>
      <c r="K83" s="21">
        <f t="shared" si="51"/>
        <v>58622.8</v>
      </c>
    </row>
    <row r="84" spans="1:12" x14ac:dyDescent="0.25">
      <c r="A84" s="86"/>
      <c r="B84" s="76"/>
      <c r="C84" s="72"/>
      <c r="D84" s="20" t="s">
        <v>26</v>
      </c>
      <c r="E84" s="21">
        <v>11661.4</v>
      </c>
      <c r="F84" s="21">
        <v>8546.1</v>
      </c>
      <c r="G84" s="21">
        <v>9034.4</v>
      </c>
      <c r="H84" s="21">
        <f>9793.8-9793.8+1088.2</f>
        <v>1088.2</v>
      </c>
      <c r="I84" s="21">
        <v>1088.2</v>
      </c>
      <c r="J84" s="21">
        <v>1088.2</v>
      </c>
      <c r="K84" s="21">
        <f t="shared" si="51"/>
        <v>32506.500000000004</v>
      </c>
    </row>
    <row r="85" spans="1:12" x14ac:dyDescent="0.25">
      <c r="A85" s="87"/>
      <c r="B85" s="77"/>
      <c r="C85" s="73"/>
      <c r="D85" s="20" t="s">
        <v>27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f t="shared" si="51"/>
        <v>0</v>
      </c>
    </row>
    <row r="86" spans="1:12" hidden="1" x14ac:dyDescent="0.25">
      <c r="A86" s="85" t="s">
        <v>67</v>
      </c>
      <c r="B86" s="75" t="s">
        <v>64</v>
      </c>
      <c r="C86" s="71" t="s">
        <v>23</v>
      </c>
      <c r="D86" s="20" t="s">
        <v>20</v>
      </c>
      <c r="E86" s="21">
        <f t="shared" ref="E86:G86" si="52">E87+E88+E89+E90</f>
        <v>0</v>
      </c>
      <c r="F86" s="21">
        <f t="shared" si="52"/>
        <v>0</v>
      </c>
      <c r="G86" s="21">
        <f t="shared" si="52"/>
        <v>0</v>
      </c>
      <c r="H86" s="21">
        <v>0</v>
      </c>
      <c r="I86" s="21">
        <f t="shared" ref="I86:J86" si="53">I87+I88+I89+I90</f>
        <v>0</v>
      </c>
      <c r="J86" s="21">
        <f t="shared" si="53"/>
        <v>0</v>
      </c>
      <c r="K86" s="21">
        <f t="shared" si="51"/>
        <v>0</v>
      </c>
    </row>
    <row r="87" spans="1:12" hidden="1" x14ac:dyDescent="0.25">
      <c r="A87" s="86"/>
      <c r="B87" s="76"/>
      <c r="C87" s="72"/>
      <c r="D87" s="20" t="s">
        <v>24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f t="shared" si="51"/>
        <v>0</v>
      </c>
    </row>
    <row r="88" spans="1:12" hidden="1" x14ac:dyDescent="0.25">
      <c r="A88" s="86"/>
      <c r="B88" s="76"/>
      <c r="C88" s="72"/>
      <c r="D88" s="20" t="s">
        <v>25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f t="shared" si="51"/>
        <v>0</v>
      </c>
    </row>
    <row r="89" spans="1:12" hidden="1" x14ac:dyDescent="0.25">
      <c r="A89" s="86"/>
      <c r="B89" s="76"/>
      <c r="C89" s="72"/>
      <c r="D89" s="20" t="s">
        <v>26</v>
      </c>
      <c r="E89" s="21">
        <v>0</v>
      </c>
      <c r="F89" s="21">
        <v>0</v>
      </c>
      <c r="G89" s="21">
        <v>0</v>
      </c>
      <c r="H89" s="21">
        <v>0</v>
      </c>
      <c r="I89" s="21"/>
      <c r="J89" s="21">
        <v>0</v>
      </c>
      <c r="K89" s="21">
        <f t="shared" si="51"/>
        <v>0</v>
      </c>
    </row>
    <row r="90" spans="1:12" hidden="1" x14ac:dyDescent="0.25">
      <c r="A90" s="87"/>
      <c r="B90" s="77"/>
      <c r="C90" s="73"/>
      <c r="D90" s="20" t="s">
        <v>27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f t="shared" si="51"/>
        <v>0</v>
      </c>
    </row>
    <row r="91" spans="1:12" hidden="1" x14ac:dyDescent="0.25">
      <c r="A91" s="94">
        <v>11</v>
      </c>
      <c r="B91" s="95" t="s">
        <v>70</v>
      </c>
      <c r="C91" s="98" t="s">
        <v>23</v>
      </c>
      <c r="D91" s="44" t="s">
        <v>20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/>
      <c r="K91" s="21">
        <f t="shared" si="51"/>
        <v>0</v>
      </c>
    </row>
    <row r="92" spans="1:12" hidden="1" x14ac:dyDescent="0.25">
      <c r="A92" s="94"/>
      <c r="B92" s="96"/>
      <c r="C92" s="98"/>
      <c r="D92" s="44" t="s">
        <v>24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21">
        <f t="shared" si="51"/>
        <v>0</v>
      </c>
    </row>
    <row r="93" spans="1:12" hidden="1" x14ac:dyDescent="0.25">
      <c r="A93" s="94"/>
      <c r="B93" s="96"/>
      <c r="C93" s="98"/>
      <c r="D93" s="44" t="s">
        <v>25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21">
        <f t="shared" si="51"/>
        <v>0</v>
      </c>
    </row>
    <row r="94" spans="1:12" hidden="1" x14ac:dyDescent="0.25">
      <c r="A94" s="94"/>
      <c r="B94" s="96"/>
      <c r="C94" s="98"/>
      <c r="D94" s="46" t="s">
        <v>26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/>
      <c r="K94" s="21">
        <f t="shared" si="51"/>
        <v>0</v>
      </c>
    </row>
    <row r="95" spans="1:12" hidden="1" x14ac:dyDescent="0.25">
      <c r="A95" s="94"/>
      <c r="B95" s="97"/>
      <c r="C95" s="98"/>
      <c r="D95" s="44" t="s">
        <v>27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21">
        <f t="shared" si="51"/>
        <v>0</v>
      </c>
    </row>
    <row r="96" spans="1:12" x14ac:dyDescent="0.25">
      <c r="A96" s="85" t="s">
        <v>67</v>
      </c>
      <c r="B96" s="75" t="s">
        <v>85</v>
      </c>
      <c r="C96" s="71" t="s">
        <v>23</v>
      </c>
      <c r="D96" s="20" t="s">
        <v>20</v>
      </c>
      <c r="E96" s="21">
        <f t="shared" ref="E96:H96" si="54">E97+E98+E99+E100</f>
        <v>0</v>
      </c>
      <c r="F96" s="21">
        <f t="shared" si="54"/>
        <v>0</v>
      </c>
      <c r="G96" s="21">
        <f t="shared" si="54"/>
        <v>12842.2</v>
      </c>
      <c r="H96" s="21">
        <f t="shared" si="54"/>
        <v>3579</v>
      </c>
      <c r="I96" s="21">
        <f t="shared" ref="I96:K96" si="55">I97+I98+I99+I100</f>
        <v>0</v>
      </c>
      <c r="J96" s="21">
        <f t="shared" si="55"/>
        <v>0</v>
      </c>
      <c r="K96" s="21">
        <f t="shared" si="55"/>
        <v>16421.2</v>
      </c>
    </row>
    <row r="97" spans="1:11" x14ac:dyDescent="0.25">
      <c r="A97" s="86"/>
      <c r="B97" s="76"/>
      <c r="C97" s="72"/>
      <c r="D97" s="20" t="s">
        <v>24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f t="shared" ref="K97:K100" si="56">SUM(E97:J97)</f>
        <v>0</v>
      </c>
    </row>
    <row r="98" spans="1:11" x14ac:dyDescent="0.25">
      <c r="A98" s="86"/>
      <c r="B98" s="76"/>
      <c r="C98" s="72"/>
      <c r="D98" s="20" t="s">
        <v>25</v>
      </c>
      <c r="E98" s="21">
        <v>0</v>
      </c>
      <c r="F98" s="21">
        <v>0</v>
      </c>
      <c r="G98" s="21">
        <v>12200</v>
      </c>
      <c r="H98" s="21">
        <v>3400</v>
      </c>
      <c r="I98" s="21">
        <v>0</v>
      </c>
      <c r="J98" s="21">
        <v>0</v>
      </c>
      <c r="K98" s="21">
        <f t="shared" si="56"/>
        <v>15600</v>
      </c>
    </row>
    <row r="99" spans="1:11" x14ac:dyDescent="0.25">
      <c r="A99" s="86"/>
      <c r="B99" s="76"/>
      <c r="C99" s="72"/>
      <c r="D99" s="20" t="s">
        <v>26</v>
      </c>
      <c r="E99" s="21">
        <v>0</v>
      </c>
      <c r="F99" s="21">
        <v>0</v>
      </c>
      <c r="G99" s="21">
        <v>642.20000000000005</v>
      </c>
      <c r="H99" s="21">
        <v>179</v>
      </c>
      <c r="I99" s="21">
        <v>0</v>
      </c>
      <c r="J99" s="21">
        <v>0</v>
      </c>
      <c r="K99" s="21">
        <f t="shared" si="56"/>
        <v>821.2</v>
      </c>
    </row>
    <row r="100" spans="1:11" x14ac:dyDescent="0.25">
      <c r="A100" s="87"/>
      <c r="B100" s="77"/>
      <c r="C100" s="73"/>
      <c r="D100" s="20" t="s">
        <v>27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f t="shared" si="56"/>
        <v>0</v>
      </c>
    </row>
    <row r="101" spans="1:11" x14ac:dyDescent="0.25">
      <c r="A101" s="85" t="s">
        <v>80</v>
      </c>
      <c r="B101" s="75" t="s">
        <v>81</v>
      </c>
      <c r="C101" s="71" t="s">
        <v>23</v>
      </c>
      <c r="D101" s="20" t="s">
        <v>20</v>
      </c>
      <c r="E101" s="21">
        <f t="shared" ref="E101:H101" si="57">E102+E103+E104+E105</f>
        <v>0</v>
      </c>
      <c r="F101" s="21">
        <f t="shared" si="57"/>
        <v>0</v>
      </c>
      <c r="G101" s="21">
        <f t="shared" si="57"/>
        <v>10060.5</v>
      </c>
      <c r="H101" s="21">
        <f t="shared" si="57"/>
        <v>11293.470000000001</v>
      </c>
      <c r="I101" s="21">
        <f t="shared" ref="I101:K101" si="58">I102+I103+I104+I105</f>
        <v>11057.4</v>
      </c>
      <c r="J101" s="21">
        <f t="shared" si="58"/>
        <v>11057.4</v>
      </c>
      <c r="K101" s="21">
        <f t="shared" si="58"/>
        <v>43468.770000000004</v>
      </c>
    </row>
    <row r="102" spans="1:11" x14ac:dyDescent="0.25">
      <c r="A102" s="86"/>
      <c r="B102" s="76"/>
      <c r="C102" s="72"/>
      <c r="D102" s="20" t="s">
        <v>24</v>
      </c>
      <c r="E102" s="21">
        <v>0</v>
      </c>
      <c r="F102" s="21">
        <v>0</v>
      </c>
      <c r="G102" s="21">
        <v>177.3</v>
      </c>
      <c r="H102" s="21">
        <v>236.1</v>
      </c>
      <c r="I102" s="21">
        <v>0</v>
      </c>
      <c r="J102" s="21">
        <v>0</v>
      </c>
      <c r="K102" s="21">
        <f t="shared" ref="K102:K105" si="59">SUM(E102:J102)</f>
        <v>413.4</v>
      </c>
    </row>
    <row r="103" spans="1:11" x14ac:dyDescent="0.25">
      <c r="A103" s="86"/>
      <c r="B103" s="76"/>
      <c r="C103" s="72"/>
      <c r="D103" s="20" t="s">
        <v>25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f t="shared" si="59"/>
        <v>0</v>
      </c>
    </row>
    <row r="104" spans="1:11" x14ac:dyDescent="0.25">
      <c r="A104" s="86"/>
      <c r="B104" s="76"/>
      <c r="C104" s="72"/>
      <c r="D104" s="20" t="s">
        <v>26</v>
      </c>
      <c r="E104" s="21">
        <v>0</v>
      </c>
      <c r="F104" s="21">
        <v>0</v>
      </c>
      <c r="G104" s="21">
        <f>10546.1-662.9</f>
        <v>9883.2000000000007</v>
      </c>
      <c r="H104" s="21">
        <v>11057.37</v>
      </c>
      <c r="I104" s="21">
        <v>11057.4</v>
      </c>
      <c r="J104" s="21">
        <v>11057.4</v>
      </c>
      <c r="K104" s="21">
        <f t="shared" si="59"/>
        <v>43055.37</v>
      </c>
    </row>
    <row r="105" spans="1:11" x14ac:dyDescent="0.25">
      <c r="A105" s="87"/>
      <c r="B105" s="77"/>
      <c r="C105" s="73"/>
      <c r="D105" s="20" t="s">
        <v>27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f t="shared" si="59"/>
        <v>0</v>
      </c>
    </row>
    <row r="106" spans="1:11" x14ac:dyDescent="0.25">
      <c r="A106" s="85" t="s">
        <v>83</v>
      </c>
      <c r="B106" s="75" t="s">
        <v>84</v>
      </c>
      <c r="C106" s="71" t="s">
        <v>23</v>
      </c>
      <c r="D106" s="20" t="s">
        <v>20</v>
      </c>
      <c r="E106" s="21">
        <f t="shared" ref="E106:K106" si="60">E107+E108+E109+E110</f>
        <v>0</v>
      </c>
      <c r="F106" s="21">
        <f t="shared" si="60"/>
        <v>0</v>
      </c>
      <c r="G106" s="21">
        <f t="shared" ref="G106:H106" si="61">G107+G108+G109+G110</f>
        <v>0</v>
      </c>
      <c r="H106" s="21">
        <f t="shared" si="61"/>
        <v>171501.64</v>
      </c>
      <c r="I106" s="21">
        <f t="shared" si="60"/>
        <v>177006.1</v>
      </c>
      <c r="J106" s="21">
        <f t="shared" si="60"/>
        <v>184319.2</v>
      </c>
      <c r="K106" s="21">
        <f t="shared" si="60"/>
        <v>532826.94000000006</v>
      </c>
    </row>
    <row r="107" spans="1:11" x14ac:dyDescent="0.25">
      <c r="A107" s="86"/>
      <c r="B107" s="76"/>
      <c r="C107" s="72"/>
      <c r="D107" s="20" t="s">
        <v>24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f t="shared" ref="K107:K110" si="62">SUM(E107:J107)</f>
        <v>0</v>
      </c>
    </row>
    <row r="108" spans="1:11" x14ac:dyDescent="0.25">
      <c r="A108" s="86"/>
      <c r="B108" s="76"/>
      <c r="C108" s="72"/>
      <c r="D108" s="20" t="s">
        <v>25</v>
      </c>
      <c r="E108" s="21">
        <v>0</v>
      </c>
      <c r="F108" s="21">
        <v>0</v>
      </c>
      <c r="G108" s="21">
        <v>0</v>
      </c>
      <c r="H108" s="21">
        <v>63175.94</v>
      </c>
      <c r="I108" s="21">
        <v>62345.8</v>
      </c>
      <c r="J108" s="21">
        <v>65805.100000000006</v>
      </c>
      <c r="K108" s="21">
        <f t="shared" si="62"/>
        <v>191326.84000000003</v>
      </c>
    </row>
    <row r="109" spans="1:11" x14ac:dyDescent="0.25">
      <c r="A109" s="86"/>
      <c r="B109" s="76"/>
      <c r="C109" s="72"/>
      <c r="D109" s="20" t="s">
        <v>26</v>
      </c>
      <c r="E109" s="21">
        <v>0</v>
      </c>
      <c r="F109" s="21">
        <v>0</v>
      </c>
      <c r="G109" s="21">
        <v>0</v>
      </c>
      <c r="H109" s="21">
        <v>72925.7</v>
      </c>
      <c r="I109" s="21">
        <f>68766.5+9793.8</f>
        <v>78560.3</v>
      </c>
      <c r="J109" s="21">
        <f>71820.3+9793.8</f>
        <v>81614.100000000006</v>
      </c>
      <c r="K109" s="21">
        <f t="shared" si="62"/>
        <v>233100.1</v>
      </c>
    </row>
    <row r="110" spans="1:11" x14ac:dyDescent="0.25">
      <c r="A110" s="87"/>
      <c r="B110" s="77"/>
      <c r="C110" s="73"/>
      <c r="D110" s="20" t="s">
        <v>27</v>
      </c>
      <c r="E110" s="21">
        <v>0</v>
      </c>
      <c r="F110" s="21">
        <v>0</v>
      </c>
      <c r="G110" s="21">
        <v>0</v>
      </c>
      <c r="H110" s="21">
        <v>35400</v>
      </c>
      <c r="I110" s="21">
        <f>20700+15400</f>
        <v>36100</v>
      </c>
      <c r="J110" s="21">
        <f>20900+16000</f>
        <v>36900</v>
      </c>
      <c r="K110" s="21">
        <f t="shared" si="62"/>
        <v>108400</v>
      </c>
    </row>
    <row r="111" spans="1:11" x14ac:dyDescent="0.25">
      <c r="A111" s="88" t="s">
        <v>69</v>
      </c>
      <c r="B111" s="89"/>
      <c r="C111" s="71" t="s">
        <v>23</v>
      </c>
      <c r="D111" s="39" t="s">
        <v>20</v>
      </c>
      <c r="E111" s="21">
        <f>SUM(E112:E115)</f>
        <v>212875.19999999998</v>
      </c>
      <c r="F111" s="21">
        <f t="shared" ref="F111:J111" si="63">SUM(F112:F115)</f>
        <v>308113.95199999999</v>
      </c>
      <c r="G111" s="21">
        <f t="shared" si="63"/>
        <v>273822.70000000007</v>
      </c>
      <c r="H111" s="21">
        <f t="shared" si="63"/>
        <v>403533.17000000004</v>
      </c>
      <c r="I111" s="21">
        <f t="shared" si="63"/>
        <v>332767.90000000002</v>
      </c>
      <c r="J111" s="21">
        <f t="shared" si="63"/>
        <v>346398.5</v>
      </c>
      <c r="K111" s="21">
        <f>SUM(K112:K115)</f>
        <v>1877511.4220000003</v>
      </c>
    </row>
    <row r="112" spans="1:11" x14ac:dyDescent="0.25">
      <c r="A112" s="90"/>
      <c r="B112" s="91"/>
      <c r="C112" s="72"/>
      <c r="D112" s="39" t="s">
        <v>24</v>
      </c>
      <c r="E112" s="21">
        <f>E17+E22+E27+E47+E52+E57+E62+E67+E82+E97+E102+E107</f>
        <v>0</v>
      </c>
      <c r="F112" s="21">
        <f t="shared" ref="F112:J112" si="64">F17+F22+F27+F47+F52+F57+F62+F67+F82+F97+F102+F107</f>
        <v>0</v>
      </c>
      <c r="G112" s="21">
        <f t="shared" si="64"/>
        <v>177.3</v>
      </c>
      <c r="H112" s="21">
        <f t="shared" si="64"/>
        <v>236.1</v>
      </c>
      <c r="I112" s="21">
        <f t="shared" si="64"/>
        <v>0</v>
      </c>
      <c r="J112" s="21">
        <f t="shared" si="64"/>
        <v>0</v>
      </c>
      <c r="K112" s="21">
        <f t="shared" ref="K112:K115" si="65">SUM(E112:J112)</f>
        <v>413.4</v>
      </c>
    </row>
    <row r="113" spans="1:11" x14ac:dyDescent="0.25">
      <c r="A113" s="90"/>
      <c r="B113" s="91"/>
      <c r="C113" s="72"/>
      <c r="D113" s="39" t="s">
        <v>25</v>
      </c>
      <c r="E113" s="21">
        <f>E18+E23+E28+E48+E53+E58+E63+E68+E83+E98+E103+E108</f>
        <v>27125.4</v>
      </c>
      <c r="F113" s="21">
        <f t="shared" ref="F113:J113" si="66">F18+F23+F28+F48+F53+F58+F63+F68+F83+F98+F103+F108</f>
        <v>64052.899999999994</v>
      </c>
      <c r="G113" s="21">
        <f t="shared" si="66"/>
        <v>27265.9</v>
      </c>
      <c r="H113" s="21">
        <f t="shared" si="66"/>
        <v>83368.700000000012</v>
      </c>
      <c r="I113" s="21">
        <f t="shared" si="66"/>
        <v>77443.5</v>
      </c>
      <c r="J113" s="21">
        <f t="shared" si="66"/>
        <v>80902.8</v>
      </c>
      <c r="K113" s="21">
        <f t="shared" si="65"/>
        <v>360159.2</v>
      </c>
    </row>
    <row r="114" spans="1:11" x14ac:dyDescent="0.25">
      <c r="A114" s="90"/>
      <c r="B114" s="91"/>
      <c r="C114" s="72"/>
      <c r="D114" s="39" t="s">
        <v>26</v>
      </c>
      <c r="E114" s="21">
        <f t="shared" ref="E114:J114" si="67">E19+E24+E29+E49+E54+E59+E64+E69+E84+E99+E104+E109</f>
        <v>125288.29999999999</v>
      </c>
      <c r="F114" s="21">
        <f t="shared" si="67"/>
        <v>171189.6</v>
      </c>
      <c r="G114" s="21">
        <f t="shared" si="67"/>
        <v>177624.50000000003</v>
      </c>
      <c r="H114" s="21">
        <f t="shared" si="67"/>
        <v>236428.37</v>
      </c>
      <c r="I114" s="21">
        <f t="shared" si="67"/>
        <v>170574.4</v>
      </c>
      <c r="J114" s="21">
        <f t="shared" si="67"/>
        <v>179395.7</v>
      </c>
      <c r="K114" s="21">
        <f t="shared" si="65"/>
        <v>1060500.8700000001</v>
      </c>
    </row>
    <row r="115" spans="1:11" x14ac:dyDescent="0.25">
      <c r="A115" s="90"/>
      <c r="B115" s="91"/>
      <c r="C115" s="73"/>
      <c r="D115" s="39" t="s">
        <v>27</v>
      </c>
      <c r="E115" s="21">
        <f t="shared" ref="E115:J115" si="68">E20+E25+E30+E50+E55+E60+E65+E70+E85+E100+E105+E110</f>
        <v>60461.5</v>
      </c>
      <c r="F115" s="21">
        <f t="shared" si="68"/>
        <v>72871.45199999999</v>
      </c>
      <c r="G115" s="21">
        <f t="shared" si="68"/>
        <v>68755</v>
      </c>
      <c r="H115" s="21">
        <f t="shared" si="68"/>
        <v>83500</v>
      </c>
      <c r="I115" s="21">
        <f t="shared" si="68"/>
        <v>84750</v>
      </c>
      <c r="J115" s="21">
        <f t="shared" si="68"/>
        <v>86100</v>
      </c>
      <c r="K115" s="21">
        <f t="shared" si="65"/>
        <v>456437.95199999999</v>
      </c>
    </row>
    <row r="116" spans="1:11" x14ac:dyDescent="0.25">
      <c r="A116" s="90"/>
      <c r="B116" s="91"/>
      <c r="C116" s="71" t="s">
        <v>75</v>
      </c>
      <c r="D116" s="50" t="s">
        <v>20</v>
      </c>
      <c r="E116" s="21">
        <f>E117+E118+E119+E120</f>
        <v>0</v>
      </c>
      <c r="F116" s="21">
        <f t="shared" ref="F116:J116" si="69">F117+F118+F119+F120</f>
        <v>66183</v>
      </c>
      <c r="G116" s="21">
        <f t="shared" si="69"/>
        <v>0</v>
      </c>
      <c r="H116" s="21">
        <f t="shared" si="69"/>
        <v>0</v>
      </c>
      <c r="I116" s="21">
        <f t="shared" si="69"/>
        <v>0</v>
      </c>
      <c r="J116" s="21">
        <f t="shared" si="69"/>
        <v>0</v>
      </c>
      <c r="K116" s="47">
        <f>K117+K118+K119+K120</f>
        <v>66183</v>
      </c>
    </row>
    <row r="117" spans="1:11" x14ac:dyDescent="0.25">
      <c r="A117" s="90"/>
      <c r="B117" s="91"/>
      <c r="C117" s="72"/>
      <c r="D117" s="50" t="s">
        <v>24</v>
      </c>
      <c r="E117" s="21">
        <f>E32</f>
        <v>0</v>
      </c>
      <c r="F117" s="21">
        <f>F32</f>
        <v>0</v>
      </c>
      <c r="G117" s="21">
        <f t="shared" ref="G117:J117" si="70">G32</f>
        <v>0</v>
      </c>
      <c r="H117" s="21">
        <f t="shared" si="70"/>
        <v>0</v>
      </c>
      <c r="I117" s="21">
        <f t="shared" si="70"/>
        <v>0</v>
      </c>
      <c r="J117" s="21">
        <f t="shared" si="70"/>
        <v>0</v>
      </c>
      <c r="K117" s="21">
        <f t="shared" ref="K117:K120" si="71">SUM(E117:J117)</f>
        <v>0</v>
      </c>
    </row>
    <row r="118" spans="1:11" x14ac:dyDescent="0.25">
      <c r="A118" s="90"/>
      <c r="B118" s="91"/>
      <c r="C118" s="72"/>
      <c r="D118" s="50" t="s">
        <v>25</v>
      </c>
      <c r="E118" s="21">
        <f t="shared" ref="E118" si="72">E33</f>
        <v>0</v>
      </c>
      <c r="F118" s="21">
        <f t="shared" ref="F118:J120" si="73">F33</f>
        <v>59564.7</v>
      </c>
      <c r="G118" s="21">
        <f t="shared" si="73"/>
        <v>0</v>
      </c>
      <c r="H118" s="21">
        <f t="shared" si="73"/>
        <v>0</v>
      </c>
      <c r="I118" s="21">
        <f t="shared" si="73"/>
        <v>0</v>
      </c>
      <c r="J118" s="21">
        <f t="shared" si="73"/>
        <v>0</v>
      </c>
      <c r="K118" s="21">
        <f t="shared" si="71"/>
        <v>59564.7</v>
      </c>
    </row>
    <row r="119" spans="1:11" x14ac:dyDescent="0.25">
      <c r="A119" s="90"/>
      <c r="B119" s="91"/>
      <c r="C119" s="72"/>
      <c r="D119" s="50" t="s">
        <v>26</v>
      </c>
      <c r="E119" s="21">
        <f t="shared" ref="E119" si="74">E34</f>
        <v>0</v>
      </c>
      <c r="F119" s="21">
        <f t="shared" si="73"/>
        <v>6618.3</v>
      </c>
      <c r="G119" s="21">
        <f t="shared" si="73"/>
        <v>0</v>
      </c>
      <c r="H119" s="21">
        <f t="shared" si="73"/>
        <v>0</v>
      </c>
      <c r="I119" s="21">
        <f t="shared" si="73"/>
        <v>0</v>
      </c>
      <c r="J119" s="21">
        <f t="shared" si="73"/>
        <v>0</v>
      </c>
      <c r="K119" s="21">
        <f t="shared" si="71"/>
        <v>6618.3</v>
      </c>
    </row>
    <row r="120" spans="1:11" x14ac:dyDescent="0.25">
      <c r="A120" s="90"/>
      <c r="B120" s="91"/>
      <c r="C120" s="73"/>
      <c r="D120" s="50" t="s">
        <v>27</v>
      </c>
      <c r="E120" s="21">
        <f t="shared" ref="E120" si="75">E35</f>
        <v>0</v>
      </c>
      <c r="F120" s="21">
        <f t="shared" si="73"/>
        <v>0</v>
      </c>
      <c r="G120" s="21">
        <f t="shared" si="73"/>
        <v>0</v>
      </c>
      <c r="H120" s="21">
        <f t="shared" si="73"/>
        <v>0</v>
      </c>
      <c r="I120" s="21">
        <f t="shared" si="73"/>
        <v>0</v>
      </c>
      <c r="J120" s="21">
        <f t="shared" si="73"/>
        <v>0</v>
      </c>
      <c r="K120" s="21">
        <f t="shared" si="71"/>
        <v>0</v>
      </c>
    </row>
    <row r="121" spans="1:11" x14ac:dyDescent="0.25">
      <c r="A121" s="90"/>
      <c r="B121" s="91"/>
      <c r="C121" s="71" t="s">
        <v>68</v>
      </c>
      <c r="D121" s="43" t="s">
        <v>20</v>
      </c>
      <c r="E121" s="21">
        <f>SUM(E122:E125)</f>
        <v>3600</v>
      </c>
      <c r="F121" s="21">
        <f t="shared" ref="F121:J121" si="76">SUM(F122:F125)</f>
        <v>5754</v>
      </c>
      <c r="G121" s="21">
        <f t="shared" si="76"/>
        <v>2500</v>
      </c>
      <c r="H121" s="21">
        <f t="shared" si="76"/>
        <v>0</v>
      </c>
      <c r="I121" s="21">
        <f t="shared" si="76"/>
        <v>0</v>
      </c>
      <c r="J121" s="21">
        <f t="shared" si="76"/>
        <v>0</v>
      </c>
      <c r="K121" s="21">
        <f t="shared" ref="K121" si="77">SUM(K122:K125)</f>
        <v>11854</v>
      </c>
    </row>
    <row r="122" spans="1:11" x14ac:dyDescent="0.25">
      <c r="A122" s="90"/>
      <c r="B122" s="91"/>
      <c r="C122" s="72"/>
      <c r="D122" s="43" t="s">
        <v>24</v>
      </c>
      <c r="E122" s="21">
        <f t="shared" ref="E122:J122" si="78">E37+E72</f>
        <v>0</v>
      </c>
      <c r="F122" s="21">
        <f t="shared" si="78"/>
        <v>0</v>
      </c>
      <c r="G122" s="21">
        <f t="shared" si="78"/>
        <v>0</v>
      </c>
      <c r="H122" s="21">
        <f t="shared" si="78"/>
        <v>0</v>
      </c>
      <c r="I122" s="21">
        <f t="shared" si="78"/>
        <v>0</v>
      </c>
      <c r="J122" s="21">
        <f t="shared" si="78"/>
        <v>0</v>
      </c>
      <c r="K122" s="21">
        <f>SUM(E122:J122)</f>
        <v>0</v>
      </c>
    </row>
    <row r="123" spans="1:11" x14ac:dyDescent="0.25">
      <c r="A123" s="90"/>
      <c r="B123" s="91"/>
      <c r="C123" s="72"/>
      <c r="D123" s="43" t="s">
        <v>25</v>
      </c>
      <c r="E123" s="21">
        <f t="shared" ref="E123:F125" si="79">E38+E73</f>
        <v>0</v>
      </c>
      <c r="F123" s="21">
        <f t="shared" si="79"/>
        <v>0</v>
      </c>
      <c r="G123" s="21">
        <f t="shared" ref="G123:I123" si="80">G38+G73</f>
        <v>0</v>
      </c>
      <c r="H123" s="21">
        <f t="shared" si="80"/>
        <v>0</v>
      </c>
      <c r="I123" s="21">
        <f t="shared" si="80"/>
        <v>0</v>
      </c>
      <c r="J123" s="21">
        <f t="shared" ref="J123" si="81">J38+J73</f>
        <v>0</v>
      </c>
      <c r="K123" s="21">
        <f t="shared" ref="K123:K125" si="82">SUM(E123:J123)</f>
        <v>0</v>
      </c>
    </row>
    <row r="124" spans="1:11" x14ac:dyDescent="0.25">
      <c r="A124" s="90"/>
      <c r="B124" s="91"/>
      <c r="C124" s="72"/>
      <c r="D124" s="43" t="s">
        <v>26</v>
      </c>
      <c r="E124" s="21">
        <f t="shared" si="79"/>
        <v>3600</v>
      </c>
      <c r="F124" s="21">
        <f t="shared" si="79"/>
        <v>5754</v>
      </c>
      <c r="G124" s="21">
        <f t="shared" ref="G124:I124" si="83">G39+G74</f>
        <v>2500</v>
      </c>
      <c r="H124" s="21">
        <f t="shared" si="83"/>
        <v>0</v>
      </c>
      <c r="I124" s="21">
        <f t="shared" si="83"/>
        <v>0</v>
      </c>
      <c r="J124" s="21">
        <f t="shared" ref="J124" si="84">J39+J74</f>
        <v>0</v>
      </c>
      <c r="K124" s="21">
        <f t="shared" si="82"/>
        <v>11854</v>
      </c>
    </row>
    <row r="125" spans="1:11" x14ac:dyDescent="0.25">
      <c r="A125" s="90"/>
      <c r="B125" s="91"/>
      <c r="C125" s="73"/>
      <c r="D125" s="43" t="s">
        <v>27</v>
      </c>
      <c r="E125" s="21">
        <f t="shared" si="79"/>
        <v>0</v>
      </c>
      <c r="F125" s="21">
        <f t="shared" si="79"/>
        <v>0</v>
      </c>
      <c r="G125" s="21">
        <f t="shared" ref="G125:I125" si="85">G40+G75</f>
        <v>0</v>
      </c>
      <c r="H125" s="21">
        <f t="shared" si="85"/>
        <v>0</v>
      </c>
      <c r="I125" s="21">
        <f t="shared" si="85"/>
        <v>0</v>
      </c>
      <c r="J125" s="21">
        <f t="shared" ref="J125" si="86">J40+J75</f>
        <v>0</v>
      </c>
      <c r="K125" s="21">
        <f t="shared" si="82"/>
        <v>0</v>
      </c>
    </row>
    <row r="126" spans="1:11" x14ac:dyDescent="0.25">
      <c r="A126" s="90"/>
      <c r="B126" s="91"/>
      <c r="C126" s="62" t="s">
        <v>37</v>
      </c>
      <c r="D126" s="43" t="s">
        <v>20</v>
      </c>
      <c r="E126" s="21">
        <f>SUM(E127:E130)</f>
        <v>216475.19999999998</v>
      </c>
      <c r="F126" s="21">
        <f t="shared" ref="F126:J126" si="87">SUM(F127:F130)</f>
        <v>380050.95199999999</v>
      </c>
      <c r="G126" s="21">
        <f t="shared" si="87"/>
        <v>276322.70000000007</v>
      </c>
      <c r="H126" s="21">
        <f t="shared" si="87"/>
        <v>403533.17000000004</v>
      </c>
      <c r="I126" s="21">
        <f t="shared" si="87"/>
        <v>332767.90000000002</v>
      </c>
      <c r="J126" s="21">
        <f t="shared" si="87"/>
        <v>346398.5</v>
      </c>
      <c r="K126" s="21">
        <f>SUM(K127:K130)</f>
        <v>1955548.422</v>
      </c>
    </row>
    <row r="127" spans="1:11" x14ac:dyDescent="0.25">
      <c r="A127" s="90"/>
      <c r="B127" s="91"/>
      <c r="C127" s="62"/>
      <c r="D127" s="43" t="s">
        <v>24</v>
      </c>
      <c r="E127" s="21">
        <f>E112+E117+E122</f>
        <v>0</v>
      </c>
      <c r="F127" s="21">
        <f t="shared" ref="F127:J127" si="88">F112+F117+F122</f>
        <v>0</v>
      </c>
      <c r="G127" s="21">
        <f t="shared" si="88"/>
        <v>177.3</v>
      </c>
      <c r="H127" s="21">
        <f t="shared" si="88"/>
        <v>236.1</v>
      </c>
      <c r="I127" s="21">
        <f t="shared" si="88"/>
        <v>0</v>
      </c>
      <c r="J127" s="21">
        <f t="shared" si="88"/>
        <v>0</v>
      </c>
      <c r="K127" s="21">
        <f>SUM(E127:J127)</f>
        <v>413.4</v>
      </c>
    </row>
    <row r="128" spans="1:11" x14ac:dyDescent="0.25">
      <c r="A128" s="90"/>
      <c r="B128" s="91"/>
      <c r="C128" s="62"/>
      <c r="D128" s="43" t="s">
        <v>25</v>
      </c>
      <c r="E128" s="21">
        <f t="shared" ref="E128:J128" si="89">E113+E118+E123</f>
        <v>27125.4</v>
      </c>
      <c r="F128" s="21">
        <f t="shared" si="89"/>
        <v>123617.59999999999</v>
      </c>
      <c r="G128" s="21">
        <f t="shared" si="89"/>
        <v>27265.9</v>
      </c>
      <c r="H128" s="21">
        <f t="shared" si="89"/>
        <v>83368.700000000012</v>
      </c>
      <c r="I128" s="21">
        <f t="shared" si="89"/>
        <v>77443.5</v>
      </c>
      <c r="J128" s="21">
        <f t="shared" si="89"/>
        <v>80902.8</v>
      </c>
      <c r="K128" s="21">
        <f t="shared" ref="K128:K130" si="90">SUM(E128:J128)</f>
        <v>419723.89999999997</v>
      </c>
    </row>
    <row r="129" spans="1:13" x14ac:dyDescent="0.25">
      <c r="A129" s="90"/>
      <c r="B129" s="91"/>
      <c r="C129" s="62"/>
      <c r="D129" s="43" t="s">
        <v>26</v>
      </c>
      <c r="E129" s="21">
        <f t="shared" ref="E129:J129" si="91">E114+E119+E124</f>
        <v>128888.29999999999</v>
      </c>
      <c r="F129" s="21">
        <f t="shared" si="91"/>
        <v>183561.9</v>
      </c>
      <c r="G129" s="21">
        <f t="shared" si="91"/>
        <v>180124.50000000003</v>
      </c>
      <c r="H129" s="21">
        <f t="shared" si="91"/>
        <v>236428.37</v>
      </c>
      <c r="I129" s="21">
        <f t="shared" si="91"/>
        <v>170574.4</v>
      </c>
      <c r="J129" s="21">
        <f t="shared" si="91"/>
        <v>179395.7</v>
      </c>
      <c r="K129" s="21">
        <f t="shared" si="90"/>
        <v>1078973.17</v>
      </c>
    </row>
    <row r="130" spans="1:13" x14ac:dyDescent="0.25">
      <c r="A130" s="92"/>
      <c r="B130" s="93"/>
      <c r="C130" s="62"/>
      <c r="D130" s="43" t="s">
        <v>27</v>
      </c>
      <c r="E130" s="21">
        <f t="shared" ref="E130:J130" si="92">E115+E120+E125</f>
        <v>60461.5</v>
      </c>
      <c r="F130" s="21">
        <f t="shared" si="92"/>
        <v>72871.45199999999</v>
      </c>
      <c r="G130" s="21">
        <f t="shared" si="92"/>
        <v>68755</v>
      </c>
      <c r="H130" s="21">
        <f t="shared" si="92"/>
        <v>83500</v>
      </c>
      <c r="I130" s="21">
        <f t="shared" si="92"/>
        <v>84750</v>
      </c>
      <c r="J130" s="21">
        <f t="shared" si="92"/>
        <v>86100</v>
      </c>
      <c r="K130" s="21">
        <f t="shared" si="90"/>
        <v>456437.95199999999</v>
      </c>
    </row>
    <row r="131" spans="1:13" x14ac:dyDescent="0.25">
      <c r="M131" s="23"/>
    </row>
    <row r="132" spans="1:13" ht="16.5" x14ac:dyDescent="0.25">
      <c r="A132" s="84" t="s">
        <v>51</v>
      </c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23"/>
    </row>
    <row r="133" spans="1:13" ht="16.5" x14ac:dyDescent="0.25">
      <c r="A133" s="41" t="s">
        <v>66</v>
      </c>
      <c r="B133" s="41"/>
      <c r="C133" s="41"/>
      <c r="D133" s="41"/>
      <c r="E133" s="41"/>
      <c r="F133" s="41"/>
      <c r="G133" s="57"/>
      <c r="H133" s="57"/>
      <c r="I133" s="41"/>
      <c r="J133" s="41"/>
      <c r="K133" s="41"/>
      <c r="L133" s="23"/>
    </row>
    <row r="134" spans="1:13" ht="16.5" x14ac:dyDescent="0.25">
      <c r="A134" s="51" t="s">
        <v>75</v>
      </c>
      <c r="B134" s="84" t="s">
        <v>76</v>
      </c>
      <c r="C134" s="84"/>
      <c r="D134" s="84"/>
      <c r="E134" s="84"/>
      <c r="F134" s="84"/>
      <c r="G134" s="84"/>
      <c r="H134" s="84"/>
      <c r="I134" s="84"/>
      <c r="J134" s="84"/>
      <c r="K134" s="84"/>
      <c r="L134" s="84"/>
    </row>
    <row r="135" spans="1:13" ht="16.5" x14ac:dyDescent="0.25">
      <c r="A135" s="34" t="s">
        <v>52</v>
      </c>
      <c r="B135" s="35"/>
      <c r="C135" s="35"/>
      <c r="D135" s="35"/>
      <c r="E135" s="35"/>
      <c r="F135" s="35"/>
      <c r="G135" s="58"/>
      <c r="H135" s="59"/>
      <c r="I135" s="36"/>
      <c r="J135" s="37"/>
      <c r="K135" s="37"/>
    </row>
    <row r="136" spans="1:13" ht="16.5" x14ac:dyDescent="0.25">
      <c r="A136" s="34" t="s">
        <v>53</v>
      </c>
      <c r="B136" s="35"/>
      <c r="C136" s="35"/>
      <c r="D136" s="35"/>
      <c r="E136" s="35"/>
      <c r="F136" s="35"/>
      <c r="G136" s="58"/>
      <c r="H136" s="58"/>
      <c r="I136" s="35"/>
      <c r="J136" s="35"/>
      <c r="K136" s="36"/>
    </row>
    <row r="137" spans="1:13" ht="16.5" x14ac:dyDescent="0.25">
      <c r="A137" s="34" t="s">
        <v>54</v>
      </c>
      <c r="B137" s="35"/>
      <c r="C137" s="35"/>
      <c r="D137" s="35"/>
      <c r="E137" s="35"/>
      <c r="F137" s="35"/>
      <c r="G137" s="59"/>
      <c r="H137" s="58"/>
      <c r="I137" s="35"/>
      <c r="J137" s="35"/>
      <c r="K137" s="37"/>
    </row>
    <row r="138" spans="1:13" ht="16.5" x14ac:dyDescent="0.25">
      <c r="A138" s="34" t="s">
        <v>71</v>
      </c>
      <c r="B138" s="35"/>
      <c r="C138" s="35"/>
      <c r="D138" s="35"/>
      <c r="E138" s="35"/>
      <c r="F138" s="35"/>
      <c r="G138" s="59"/>
      <c r="H138" s="58"/>
      <c r="I138" s="35"/>
      <c r="J138" s="35"/>
      <c r="K138" s="35"/>
    </row>
  </sheetData>
  <mergeCells count="65">
    <mergeCell ref="B134:L134"/>
    <mergeCell ref="I5:K5"/>
    <mergeCell ref="I6:K6"/>
    <mergeCell ref="I7:K7"/>
    <mergeCell ref="A132:K132"/>
    <mergeCell ref="A61:A65"/>
    <mergeCell ref="B61:B65"/>
    <mergeCell ref="C61:C65"/>
    <mergeCell ref="C66:C70"/>
    <mergeCell ref="C111:C115"/>
    <mergeCell ref="A86:A90"/>
    <mergeCell ref="B86:B90"/>
    <mergeCell ref="B21:B25"/>
    <mergeCell ref="A106:A110"/>
    <mergeCell ref="B106:B110"/>
    <mergeCell ref="C106:C110"/>
    <mergeCell ref="I1:K4"/>
    <mergeCell ref="C51:C55"/>
    <mergeCell ref="C86:C90"/>
    <mergeCell ref="A81:A85"/>
    <mergeCell ref="C26:C30"/>
    <mergeCell ref="A9:K9"/>
    <mergeCell ref="A10:K10"/>
    <mergeCell ref="A12:A14"/>
    <mergeCell ref="B12:B14"/>
    <mergeCell ref="C12:C14"/>
    <mergeCell ref="D12:D14"/>
    <mergeCell ref="E12:K13"/>
    <mergeCell ref="C71:C75"/>
    <mergeCell ref="A16:A20"/>
    <mergeCell ref="B16:B20"/>
    <mergeCell ref="C16:C20"/>
    <mergeCell ref="A21:A25"/>
    <mergeCell ref="C91:C95"/>
    <mergeCell ref="C21:C25"/>
    <mergeCell ref="C81:C85"/>
    <mergeCell ref="A26:A45"/>
    <mergeCell ref="C31:C35"/>
    <mergeCell ref="B66:B80"/>
    <mergeCell ref="A56:A60"/>
    <mergeCell ref="A46:A50"/>
    <mergeCell ref="A51:A55"/>
    <mergeCell ref="B56:B60"/>
    <mergeCell ref="C36:C40"/>
    <mergeCell ref="C41:C45"/>
    <mergeCell ref="C56:C60"/>
    <mergeCell ref="B46:B50"/>
    <mergeCell ref="C46:C50"/>
    <mergeCell ref="B51:B55"/>
    <mergeCell ref="B81:B85"/>
    <mergeCell ref="B26:B45"/>
    <mergeCell ref="B101:B105"/>
    <mergeCell ref="C101:C105"/>
    <mergeCell ref="C126:C130"/>
    <mergeCell ref="A111:B130"/>
    <mergeCell ref="C76:C80"/>
    <mergeCell ref="C121:C125"/>
    <mergeCell ref="C116:C120"/>
    <mergeCell ref="A96:A100"/>
    <mergeCell ref="B96:B100"/>
    <mergeCell ref="C96:C100"/>
    <mergeCell ref="A101:A105"/>
    <mergeCell ref="A66:A80"/>
    <mergeCell ref="A91:A95"/>
    <mergeCell ref="B91:B95"/>
  </mergeCells>
  <pageMargins left="0.31496062992125984" right="0.15748031496062992" top="0.77" bottom="0.23" header="0.79" footer="0.31496062992125984"/>
  <pageSetup paperSize="9" scale="75" orientation="landscape" r:id="rId1"/>
  <rowBreaks count="2" manualBreakCount="2">
    <brk id="45" max="10" man="1"/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Прогноз хар-к</vt:lpstr>
      <vt:lpstr>Прогноз хар-к 05.2019</vt:lpstr>
      <vt:lpstr>Прогноз хар-к 06.2019</vt:lpstr>
      <vt:lpstr>Прогноз хар-к 09.2019</vt:lpstr>
      <vt:lpstr>Приложение №3 к МП</vt:lpstr>
      <vt:lpstr>Пр №3 к МП</vt:lpstr>
      <vt:lpstr>'Пр №3 к МП'!Заголовки_для_печати</vt:lpstr>
      <vt:lpstr>'Приложение №3 к МП'!Заголовки_для_печати</vt:lpstr>
      <vt:lpstr>'Пр №3 к МП'!Область_печати</vt:lpstr>
      <vt:lpstr>'Приложение №3 к МП'!Область_печати</vt:lpstr>
      <vt:lpstr>'Прогноз хар-к'!Область_печати</vt:lpstr>
      <vt:lpstr>'Прогноз хар-к 05.2019'!Область_печати</vt:lpstr>
      <vt:lpstr>'Прогноз хар-к 06.2019'!Область_печати</vt:lpstr>
      <vt:lpstr>'Прогноз хар-к 09.2019'!Область_печати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2024-02-08T09:21:53Z</dcterms:modified>
</cp:coreProperties>
</file>